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MZiegler\Desktop\"/>
    </mc:Choice>
  </mc:AlternateContent>
  <xr:revisionPtr revIDLastSave="0" documentId="13_ncr:1_{959F54A0-DF07-4B80-B0F7-49C980FD19FE}" xr6:coauthVersionLast="47" xr6:coauthVersionMax="47" xr10:uidLastSave="{00000000-0000-0000-0000-000000000000}"/>
  <bookViews>
    <workbookView xWindow="28680" yWindow="-120" windowWidth="29040" windowHeight="15720" xr2:uid="{AFB9B664-0DD9-42D6-A98C-62312142EB04}"/>
  </bookViews>
  <sheets>
    <sheet name="Overall Table" sheetId="1" r:id="rId1"/>
    <sheet name="CM attributes, relevance" sheetId="2" r:id="rId2"/>
    <sheet name="CMF source, cost, effectiveness" sheetId="4" r:id="rId3"/>
    <sheet name="Data Validation" sheetId="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5" i="1" l="1" a="1"/>
  <c r="Z55" i="1" s="1"/>
  <c r="C20" i="1"/>
  <c r="E20" i="1" s="1"/>
  <c r="C21" i="1"/>
  <c r="C22" i="1"/>
  <c r="R22" i="1" s="1"/>
  <c r="C23" i="1"/>
  <c r="F23" i="1" s="1"/>
  <c r="C24" i="1"/>
  <c r="C25" i="1"/>
  <c r="C26" i="1"/>
  <c r="M26" i="1" s="1"/>
  <c r="C27" i="1"/>
  <c r="G27" i="1" s="1"/>
  <c r="C28" i="1"/>
  <c r="E28" i="1" s="1"/>
  <c r="C29" i="1"/>
  <c r="C30" i="1"/>
  <c r="G30" i="1" s="1"/>
  <c r="C31" i="1"/>
  <c r="C32" i="1"/>
  <c r="F32" i="1" s="1"/>
  <c r="C33" i="1"/>
  <c r="C34" i="1"/>
  <c r="T34" i="1" s="1" a="1"/>
  <c r="T34" i="1" s="1"/>
  <c r="C35" i="1"/>
  <c r="F35" i="1" s="1"/>
  <c r="C36" i="1"/>
  <c r="G36" i="1" s="1"/>
  <c r="C37" i="1"/>
  <c r="O37" i="1" s="1"/>
  <c r="C38" i="1"/>
  <c r="A38" i="1" s="1"/>
  <c r="V38" i="1" a="1"/>
  <c r="V38" i="1" s="1"/>
  <c r="C39" i="1"/>
  <c r="G39" i="1" s="1"/>
  <c r="C40" i="1"/>
  <c r="F40" i="1" s="1"/>
  <c r="C41" i="1"/>
  <c r="C42" i="1"/>
  <c r="S42" i="1" s="1" a="1"/>
  <c r="S42" i="1" s="1"/>
  <c r="C43" i="1"/>
  <c r="C44" i="1"/>
  <c r="T44" i="1" s="1" a="1"/>
  <c r="T44" i="1" s="1"/>
  <c r="C45" i="1"/>
  <c r="F45" i="1" s="1"/>
  <c r="C46" i="1"/>
  <c r="C47" i="1"/>
  <c r="S47" i="1" s="1" a="1"/>
  <c r="S47" i="1" s="1"/>
  <c r="C48" i="1"/>
  <c r="E48" i="1" s="1"/>
  <c r="C49" i="1"/>
  <c r="E49" i="1" s="1"/>
  <c r="C50" i="1"/>
  <c r="G50" i="1" s="1"/>
  <c r="C51" i="1"/>
  <c r="A51" i="1" s="1"/>
  <c r="C52" i="1"/>
  <c r="A52" i="1" s="1"/>
  <c r="C53" i="1"/>
  <c r="C54" i="1"/>
  <c r="C55" i="1"/>
  <c r="F55" i="1" s="1"/>
  <c r="C56" i="1"/>
  <c r="C57" i="1"/>
  <c r="H57" i="1" s="1"/>
  <c r="C58" i="1"/>
  <c r="M58" i="1" s="1"/>
  <c r="C59" i="1"/>
  <c r="C60" i="1"/>
  <c r="C61" i="1"/>
  <c r="G61" i="1" s="1"/>
  <c r="C62" i="1"/>
  <c r="A62" i="1" s="1"/>
  <c r="C63" i="1"/>
  <c r="E63" i="1" s="1"/>
  <c r="C64" i="1"/>
  <c r="H64" i="1" s="1"/>
  <c r="C65" i="1"/>
  <c r="L65" i="1" s="1"/>
  <c r="C66" i="1"/>
  <c r="H66" i="1" s="1"/>
  <c r="L47" i="4"/>
  <c r="L46" i="4"/>
  <c r="M46" i="4" a="1"/>
  <c r="M46" i="4" s="1"/>
  <c r="M47" i="4" a="1"/>
  <c r="M47" i="4"/>
  <c r="L13" i="4"/>
  <c r="M13" i="4" a="1"/>
  <c r="M13" i="4" s="1"/>
  <c r="D13" i="4"/>
  <c r="C16" i="1"/>
  <c r="C17" i="1"/>
  <c r="C18" i="1"/>
  <c r="H18" i="1" s="1"/>
  <c r="C19" i="1"/>
  <c r="T19" i="1" s="1" a="1"/>
  <c r="T19" i="1" s="1"/>
  <c r="F46" i="2"/>
  <c r="C5" i="1"/>
  <c r="H5" i="1" s="1"/>
  <c r="C3" i="1"/>
  <c r="A3" i="1" s="1"/>
  <c r="C4" i="1"/>
  <c r="C6" i="1"/>
  <c r="J6" i="1" s="1"/>
  <c r="C7" i="1"/>
  <c r="A7" i="1" s="1"/>
  <c r="C8" i="1"/>
  <c r="N8" i="1" s="1"/>
  <c r="C9" i="1"/>
  <c r="C10" i="1"/>
  <c r="P10" i="1" s="1"/>
  <c r="C11" i="1"/>
  <c r="E11" i="1" s="1"/>
  <c r="C12" i="1"/>
  <c r="S12" i="1" s="1" a="1"/>
  <c r="S12" i="1" s="1"/>
  <c r="C13" i="1"/>
  <c r="E13" i="1" s="1"/>
  <c r="C14" i="1"/>
  <c r="O14" i="1" s="1"/>
  <c r="C15" i="1"/>
  <c r="M3" i="4" a="1"/>
  <c r="M3" i="4" s="1"/>
  <c r="M4" i="4" a="1"/>
  <c r="M4" i="4" s="1"/>
  <c r="M5" i="4" a="1"/>
  <c r="M5" i="4" s="1"/>
  <c r="M6" i="4" a="1"/>
  <c r="M6" i="4" s="1"/>
  <c r="M7" i="4" a="1"/>
  <c r="M7" i="4" s="1"/>
  <c r="M8" i="4" a="1"/>
  <c r="M8" i="4" s="1"/>
  <c r="M9" i="4" a="1"/>
  <c r="M9" i="4" s="1"/>
  <c r="M10" i="4" a="1"/>
  <c r="M10" i="4" s="1"/>
  <c r="M11" i="4" a="1"/>
  <c r="M11" i="4"/>
  <c r="M12" i="4" a="1"/>
  <c r="M12" i="4" s="1"/>
  <c r="M14" i="4" a="1"/>
  <c r="M14" i="4" s="1"/>
  <c r="M15" i="4" a="1"/>
  <c r="M15" i="4" s="1"/>
  <c r="M16" i="4" a="1"/>
  <c r="M16" i="4" s="1"/>
  <c r="M17" i="4" a="1"/>
  <c r="M17" i="4" s="1"/>
  <c r="M18" i="4" a="1"/>
  <c r="M18" i="4" s="1"/>
  <c r="M19" i="4" a="1"/>
  <c r="M19" i="4" s="1"/>
  <c r="M20" i="4" a="1"/>
  <c r="M20" i="4" s="1"/>
  <c r="M21" i="4" a="1"/>
  <c r="M21" i="4" s="1"/>
  <c r="M22" i="4" a="1"/>
  <c r="M22" i="4"/>
  <c r="M23" i="4" a="1"/>
  <c r="M23" i="4" s="1"/>
  <c r="M24" i="4" a="1"/>
  <c r="M24" i="4" s="1"/>
  <c r="M25" i="4" a="1"/>
  <c r="M25" i="4" s="1"/>
  <c r="M26" i="4" a="1"/>
  <c r="M26" i="4" s="1"/>
  <c r="M27" i="4" a="1"/>
  <c r="M27" i="4"/>
  <c r="M28" i="4" a="1"/>
  <c r="M28" i="4" s="1"/>
  <c r="M29" i="4" a="1"/>
  <c r="M29" i="4" s="1"/>
  <c r="M30" i="4" a="1"/>
  <c r="M30" i="4" s="1"/>
  <c r="M31" i="4" a="1"/>
  <c r="M31" i="4" s="1"/>
  <c r="M32" i="4" a="1"/>
  <c r="M32" i="4" s="1"/>
  <c r="M33" i="4" a="1"/>
  <c r="M33" i="4" s="1"/>
  <c r="M34" i="4" a="1"/>
  <c r="M34" i="4" s="1"/>
  <c r="M35" i="4" a="1"/>
  <c r="M35" i="4"/>
  <c r="M36" i="4" a="1"/>
  <c r="M36" i="4" s="1"/>
  <c r="M37" i="4" a="1"/>
  <c r="M37" i="4" s="1"/>
  <c r="M38" i="4" a="1"/>
  <c r="M38" i="4"/>
  <c r="M39" i="4" a="1"/>
  <c r="M39" i="4"/>
  <c r="M40" i="4" a="1"/>
  <c r="M40" i="4" s="1"/>
  <c r="M41" i="4" a="1"/>
  <c r="M41" i="4" s="1"/>
  <c r="M42" i="4" a="1"/>
  <c r="M42" i="4" s="1"/>
  <c r="M43" i="4" a="1"/>
  <c r="M43" i="4"/>
  <c r="M44" i="4" a="1"/>
  <c r="M44" i="4" s="1"/>
  <c r="M45" i="4" a="1"/>
  <c r="M45" i="4"/>
  <c r="M48" i="4" a="1"/>
  <c r="M48" i="4" s="1"/>
  <c r="M49" i="4" a="1"/>
  <c r="M49" i="4" s="1"/>
  <c r="M50" i="4" a="1"/>
  <c r="M50" i="4"/>
  <c r="M51" i="4" a="1"/>
  <c r="M51" i="4"/>
  <c r="M52" i="4" a="1"/>
  <c r="M52" i="4" s="1"/>
  <c r="M53" i="4" a="1"/>
  <c r="M53" i="4"/>
  <c r="M54" i="4" a="1"/>
  <c r="M54" i="4" s="1"/>
  <c r="M55" i="4" a="1"/>
  <c r="M55" i="4" s="1"/>
  <c r="M56" i="4" a="1"/>
  <c r="M56" i="4" s="1"/>
  <c r="M57" i="4" a="1"/>
  <c r="M57" i="4" s="1"/>
  <c r="M58" i="4" a="1"/>
  <c r="M58" i="4" s="1"/>
  <c r="M59" i="4" a="1"/>
  <c r="M59" i="4"/>
  <c r="M60" i="4" a="1"/>
  <c r="M60" i="4" s="1"/>
  <c r="M61" i="4" a="1"/>
  <c r="M61" i="4"/>
  <c r="M62" i="4" a="1"/>
  <c r="M62" i="4" s="1"/>
  <c r="M63" i="4" a="1"/>
  <c r="M63" i="4"/>
  <c r="M64" i="4" a="1"/>
  <c r="M64" i="4"/>
  <c r="M65" i="4" a="1"/>
  <c r="M65" i="4" s="1"/>
  <c r="M66" i="4" a="1"/>
  <c r="M66" i="4" s="1"/>
  <c r="M2" i="4" a="1"/>
  <c r="M2" i="4" s="1"/>
  <c r="E31" i="1" l="1"/>
  <c r="O22" i="1"/>
  <c r="L58" i="1"/>
  <c r="N56" i="1"/>
  <c r="S23" i="1" a="1"/>
  <c r="S23" i="1" s="1"/>
  <c r="E62" i="1"/>
  <c r="V56" i="1" a="1"/>
  <c r="V56" i="1" s="1"/>
  <c r="AB17" i="1" a="1"/>
  <c r="AB17" i="1" s="1"/>
  <c r="V57" i="1" a="1"/>
  <c r="V57" i="1" s="1"/>
  <c r="E19" i="1"/>
  <c r="R57" i="1"/>
  <c r="H37" i="1"/>
  <c r="E12" i="1"/>
  <c r="H47" i="1"/>
  <c r="AA22" i="1" a="1"/>
  <c r="AA22" i="1" s="1"/>
  <c r="AA60" i="1" a="1"/>
  <c r="AA60" i="1" s="1"/>
  <c r="Y22" i="1" a="1"/>
  <c r="Y22" i="1" s="1"/>
  <c r="Z57" i="1" a="1"/>
  <c r="Z57" i="1" s="1"/>
  <c r="Y57" i="1" a="1"/>
  <c r="Y57" i="1" s="1"/>
  <c r="X51" i="1" a="1"/>
  <c r="X51" i="1" s="1"/>
  <c r="Y61" i="1" a="1"/>
  <c r="Y61" i="1" s="1"/>
  <c r="T38" i="1" a="1"/>
  <c r="T38" i="1" s="1"/>
  <c r="F61" i="1"/>
  <c r="F47" i="1"/>
  <c r="Y36" i="1" a="1"/>
  <c r="Y36" i="1" s="1"/>
  <c r="A61" i="1"/>
  <c r="X36" i="1" a="1"/>
  <c r="X36" i="1" s="1"/>
  <c r="E30" i="1"/>
  <c r="AB59" i="1" a="1"/>
  <c r="AB59" i="1" s="1"/>
  <c r="AB56" i="1" a="1"/>
  <c r="AB56" i="1" s="1"/>
  <c r="S50" i="1" a="1"/>
  <c r="S50" i="1" s="1"/>
  <c r="J36" i="1"/>
  <c r="L22" i="1"/>
  <c r="F36" i="1"/>
  <c r="G65" i="1"/>
  <c r="AB58" i="1" a="1"/>
  <c r="AB58" i="1" s="1"/>
  <c r="F50" i="1"/>
  <c r="E36" i="1"/>
  <c r="O58" i="1"/>
  <c r="N58" i="1"/>
  <c r="G34" i="1"/>
  <c r="Y65" i="1" a="1"/>
  <c r="Y65" i="1" s="1"/>
  <c r="M38" i="1"/>
  <c r="O6" i="1"/>
  <c r="U65" i="1" a="1"/>
  <c r="U65" i="1" s="1"/>
  <c r="AA57" i="1" a="1"/>
  <c r="AA57" i="1" s="1"/>
  <c r="I38" i="1"/>
  <c r="O16" i="1"/>
  <c r="F38" i="1"/>
  <c r="Z34" i="1" a="1"/>
  <c r="Z34" i="1" s="1"/>
  <c r="E40" i="1"/>
  <c r="M34" i="1"/>
  <c r="F39" i="1"/>
  <c r="W37" i="1" a="1"/>
  <c r="W37" i="1" s="1"/>
  <c r="F34" i="1"/>
  <c r="E26" i="1"/>
  <c r="F37" i="1"/>
  <c r="AB25" i="1" a="1"/>
  <c r="AB25" i="1" s="1"/>
  <c r="N62" i="1"/>
  <c r="H19" i="1"/>
  <c r="L62" i="1"/>
  <c r="AA58" i="1" a="1"/>
  <c r="AA58" i="1" s="1"/>
  <c r="Y56" i="1" a="1"/>
  <c r="Y56" i="1" s="1"/>
  <c r="G47" i="1"/>
  <c r="E47" i="1"/>
  <c r="R65" i="1"/>
  <c r="F59" i="1"/>
  <c r="AC29" i="1" a="1"/>
  <c r="AC29" i="1" s="1"/>
  <c r="E22" i="1"/>
  <c r="F14" i="1"/>
  <c r="A47" i="1"/>
  <c r="G62" i="1"/>
  <c r="E59" i="1"/>
  <c r="F56" i="1"/>
  <c r="AB39" i="1" a="1"/>
  <c r="AB39" i="1" s="1"/>
  <c r="T47" i="1" a="1"/>
  <c r="T47" i="1" s="1"/>
  <c r="O38" i="1"/>
  <c r="F33" i="1"/>
  <c r="G24" i="1"/>
  <c r="M65" i="1"/>
  <c r="M55" i="1"/>
  <c r="O39" i="1"/>
  <c r="N38" i="1"/>
  <c r="E33" i="1"/>
  <c r="F65" i="1"/>
  <c r="Z58" i="1" a="1"/>
  <c r="Z58" i="1" s="1"/>
  <c r="N47" i="1"/>
  <c r="U16" i="1" a="1"/>
  <c r="U16" i="1" s="1"/>
  <c r="AB65" i="1" a="1"/>
  <c r="AB65" i="1" s="1"/>
  <c r="E65" i="1"/>
  <c r="T58" i="1" a="1"/>
  <c r="T58" i="1" s="1"/>
  <c r="AB38" i="1" a="1"/>
  <c r="AB38" i="1" s="1"/>
  <c r="U20" i="1" a="1"/>
  <c r="U20" i="1" s="1"/>
  <c r="R16" i="1"/>
  <c r="N42" i="1"/>
  <c r="R20" i="1"/>
  <c r="F53" i="1"/>
  <c r="A65" i="1"/>
  <c r="Z56" i="1" a="1"/>
  <c r="Z56" i="1" s="1"/>
  <c r="E53" i="1"/>
  <c r="I47" i="1"/>
  <c r="G38" i="1"/>
  <c r="AB22" i="1" a="1"/>
  <c r="AB22" i="1" s="1"/>
  <c r="G20" i="1"/>
  <c r="T51" i="1" a="1"/>
  <c r="T51" i="1" s="1"/>
  <c r="O19" i="1"/>
  <c r="N19" i="1"/>
  <c r="W16" i="1" a="1"/>
  <c r="W16" i="1" s="1"/>
  <c r="G66" i="1"/>
  <c r="O65" i="1"/>
  <c r="F60" i="1"/>
  <c r="Y55" i="1" a="1"/>
  <c r="Y55" i="1" s="1"/>
  <c r="V52" i="1" a="1"/>
  <c r="V52" i="1" s="1"/>
  <c r="M51" i="1"/>
  <c r="M43" i="1"/>
  <c r="H31" i="1"/>
  <c r="U29" i="1" a="1"/>
  <c r="U29" i="1" s="1"/>
  <c r="E27" i="1"/>
  <c r="Y37" i="1" a="1"/>
  <c r="Y37" i="1" s="1"/>
  <c r="M62" i="1"/>
  <c r="A60" i="1"/>
  <c r="N55" i="1"/>
  <c r="G51" i="1"/>
  <c r="J50" i="1"/>
  <c r="E43" i="1"/>
  <c r="M42" i="1"/>
  <c r="V34" i="1" a="1"/>
  <c r="V34" i="1" s="1"/>
  <c r="AC26" i="1" a="1"/>
  <c r="AC26" i="1" s="1"/>
  <c r="AB60" i="1" a="1"/>
  <c r="AB60" i="1" s="1"/>
  <c r="E55" i="1"/>
  <c r="S52" i="1" a="1"/>
  <c r="S52" i="1" s="1"/>
  <c r="E50" i="1"/>
  <c r="M25" i="1"/>
  <c r="AB28" i="1" a="1"/>
  <c r="AB28" i="1" s="1"/>
  <c r="O40" i="1"/>
  <c r="X18" i="1" a="1"/>
  <c r="X18" i="1" s="1"/>
  <c r="A55" i="1"/>
  <c r="AA50" i="1" a="1"/>
  <c r="AA50" i="1" s="1"/>
  <c r="I42" i="1"/>
  <c r="M40" i="1"/>
  <c r="L34" i="1"/>
  <c r="H25" i="1"/>
  <c r="H62" i="1"/>
  <c r="E54" i="1"/>
  <c r="N52" i="1"/>
  <c r="Z50" i="1" a="1"/>
  <c r="Z50" i="1" s="1"/>
  <c r="G42" i="1"/>
  <c r="N37" i="1"/>
  <c r="U30" i="1" a="1"/>
  <c r="U30" i="1" s="1"/>
  <c r="F25" i="1"/>
  <c r="X50" i="1" a="1"/>
  <c r="X50" i="1" s="1"/>
  <c r="E42" i="1"/>
  <c r="M37" i="1"/>
  <c r="N32" i="1"/>
  <c r="E25" i="1"/>
  <c r="E23" i="1"/>
  <c r="AB18" i="1" a="1"/>
  <c r="AB18" i="1" s="1"/>
  <c r="T60" i="1" a="1"/>
  <c r="T60" i="1" s="1"/>
  <c r="V49" i="1" a="1"/>
  <c r="V49" i="1" s="1"/>
  <c r="I40" i="1"/>
  <c r="J37" i="1"/>
  <c r="N26" i="1"/>
  <c r="F18" i="1"/>
  <c r="E18" i="1"/>
  <c r="T63" i="1" a="1"/>
  <c r="T63" i="1" s="1"/>
  <c r="AB51" i="1" a="1"/>
  <c r="AB51" i="1" s="1"/>
  <c r="G40" i="1"/>
  <c r="I37" i="1"/>
  <c r="H34" i="1"/>
  <c r="F30" i="1"/>
  <c r="G28" i="1"/>
  <c r="I26" i="1"/>
  <c r="N60" i="1"/>
  <c r="H56" i="1"/>
  <c r="Q50" i="1"/>
  <c r="L49" i="1"/>
  <c r="S43" i="1" a="1"/>
  <c r="S43" i="1" s="1"/>
  <c r="E37" i="1"/>
  <c r="Y34" i="1" a="1"/>
  <c r="Y34" i="1" s="1"/>
  <c r="E34" i="1"/>
  <c r="AC25" i="1" a="1"/>
  <c r="AC25" i="1" s="1"/>
  <c r="E24" i="1"/>
  <c r="Z22" i="1" a="1"/>
  <c r="Z22" i="1" s="1"/>
  <c r="X66" i="1" a="1"/>
  <c r="X66" i="1" s="1"/>
  <c r="N51" i="1"/>
  <c r="M50" i="1"/>
  <c r="A34" i="1"/>
  <c r="L31" i="1"/>
  <c r="U27" i="1" a="1"/>
  <c r="U27" i="1" s="1"/>
  <c r="S66" i="1" a="1"/>
  <c r="S66" i="1" s="1"/>
  <c r="Y60" i="1" a="1"/>
  <c r="Y60" i="1" s="1"/>
  <c r="M60" i="1"/>
  <c r="M32" i="1"/>
  <c r="U28" i="1" a="1"/>
  <c r="U28" i="1" s="1"/>
  <c r="H26" i="1"/>
  <c r="J64" i="1"/>
  <c r="F17" i="1"/>
  <c r="U18" i="1" a="1"/>
  <c r="U18" i="1" s="1"/>
  <c r="AB16" i="1" a="1"/>
  <c r="AB16" i="1" s="1"/>
  <c r="R66" i="1"/>
  <c r="I64" i="1"/>
  <c r="F16" i="1"/>
  <c r="X12" i="1" a="1"/>
  <c r="X12" i="1" s="1"/>
  <c r="S18" i="1" a="1"/>
  <c r="S18" i="1" s="1"/>
  <c r="G64" i="1"/>
  <c r="L60" i="1"/>
  <c r="G58" i="1"/>
  <c r="AA56" i="1" a="1"/>
  <c r="AA56" i="1" s="1"/>
  <c r="H53" i="1"/>
  <c r="E52" i="1"/>
  <c r="R51" i="1"/>
  <c r="H43" i="1"/>
  <c r="H41" i="1"/>
  <c r="A40" i="1"/>
  <c r="A39" i="1"/>
  <c r="E38" i="1"/>
  <c r="V36" i="1" a="1"/>
  <c r="V36" i="1" s="1"/>
  <c r="AB34" i="1" a="1"/>
  <c r="AB34" i="1" s="1"/>
  <c r="O34" i="1"/>
  <c r="H33" i="1"/>
  <c r="H32" i="1"/>
  <c r="N31" i="1"/>
  <c r="G26" i="1"/>
  <c r="O25" i="1"/>
  <c r="M23" i="1"/>
  <c r="AB20" i="1" a="1"/>
  <c r="AB20" i="1" s="1"/>
  <c r="M56" i="1"/>
  <c r="S51" i="1" a="1"/>
  <c r="S51" i="1" s="1"/>
  <c r="Y16" i="1" a="1"/>
  <c r="Y16" i="1" s="1"/>
  <c r="W65" i="1" a="1"/>
  <c r="W65" i="1" s="1"/>
  <c r="H65" i="1"/>
  <c r="X64" i="1" a="1"/>
  <c r="X64" i="1" s="1"/>
  <c r="F64" i="1"/>
  <c r="X60" i="1" a="1"/>
  <c r="X60" i="1" s="1"/>
  <c r="K56" i="1"/>
  <c r="G53" i="1"/>
  <c r="X49" i="1" a="1"/>
  <c r="X49" i="1" s="1"/>
  <c r="I46" i="1"/>
  <c r="F43" i="1"/>
  <c r="F41" i="1"/>
  <c r="G33" i="1"/>
  <c r="E32" i="1"/>
  <c r="M31" i="1"/>
  <c r="R28" i="1"/>
  <c r="W26" i="1" a="1"/>
  <c r="W26" i="1" s="1"/>
  <c r="F26" i="1"/>
  <c r="N25" i="1"/>
  <c r="M22" i="1"/>
  <c r="O20" i="1"/>
  <c r="H46" i="1"/>
  <c r="N20" i="1"/>
  <c r="A48" i="1"/>
  <c r="AA46" i="1" a="1"/>
  <c r="AA46" i="1" s="1"/>
  <c r="G46" i="1"/>
  <c r="A32" i="1"/>
  <c r="M20" i="1"/>
  <c r="A66" i="1"/>
  <c r="F46" i="1"/>
  <c r="A43" i="1"/>
  <c r="O28" i="1"/>
  <c r="A26" i="1"/>
  <c r="V64" i="1" a="1"/>
  <c r="V64" i="1" s="1"/>
  <c r="T64" i="1" a="1"/>
  <c r="T64" i="1" s="1"/>
  <c r="H60" i="1"/>
  <c r="I18" i="1"/>
  <c r="S16" i="1" a="1"/>
  <c r="S16" i="1" s="1"/>
  <c r="V60" i="1" a="1"/>
  <c r="V60" i="1" s="1"/>
  <c r="G60" i="1"/>
  <c r="G56" i="1"/>
  <c r="Z51" i="1" a="1"/>
  <c r="Z51" i="1" s="1"/>
  <c r="K51" i="1"/>
  <c r="Y46" i="1" a="1"/>
  <c r="Y46" i="1" s="1"/>
  <c r="E46" i="1"/>
  <c r="T43" i="1" a="1"/>
  <c r="T43" i="1" s="1"/>
  <c r="AB40" i="1" a="1"/>
  <c r="AB40" i="1" s="1"/>
  <c r="N40" i="1"/>
  <c r="G37" i="1"/>
  <c r="AC32" i="1" a="1"/>
  <c r="AC32" i="1" s="1"/>
  <c r="AC31" i="1" a="1"/>
  <c r="AC31" i="1" s="1"/>
  <c r="F27" i="1"/>
  <c r="U26" i="1" a="1"/>
  <c r="U26" i="1" s="1"/>
  <c r="G25" i="1"/>
  <c r="A23" i="1"/>
  <c r="Y20" i="1" a="1"/>
  <c r="Y20" i="1" s="1"/>
  <c r="K20" i="1"/>
  <c r="X46" i="1" a="1"/>
  <c r="X46" i="1" s="1"/>
  <c r="E8" i="1"/>
  <c r="Q16" i="1"/>
  <c r="AC64" i="1" a="1"/>
  <c r="AC64" i="1" s="1"/>
  <c r="E60" i="1"/>
  <c r="E56" i="1"/>
  <c r="Z54" i="1" a="1"/>
  <c r="Z54" i="1" s="1"/>
  <c r="Y51" i="1" a="1"/>
  <c r="Y51" i="1" s="1"/>
  <c r="AB35" i="1" a="1"/>
  <c r="AB35" i="1" s="1"/>
  <c r="G31" i="1"/>
  <c r="AC28" i="1" a="1"/>
  <c r="AC28" i="1" s="1"/>
  <c r="I28" i="1"/>
  <c r="F54" i="1"/>
  <c r="H51" i="1"/>
  <c r="E44" i="1"/>
  <c r="F31" i="1"/>
  <c r="H28" i="1"/>
  <c r="H20" i="1"/>
  <c r="AB64" i="1" a="1"/>
  <c r="AB64" i="1" s="1"/>
  <c r="R46" i="1"/>
  <c r="U32" i="1" a="1"/>
  <c r="U32" i="1" s="1"/>
  <c r="AA28" i="1" a="1"/>
  <c r="AA28" i="1" s="1"/>
  <c r="F28" i="1"/>
  <c r="S46" i="1" a="1"/>
  <c r="S46" i="1" s="1"/>
  <c r="O17" i="1"/>
  <c r="N64" i="1"/>
  <c r="F51" i="1"/>
  <c r="M16" i="1"/>
  <c r="N65" i="1"/>
  <c r="AA64" i="1" a="1"/>
  <c r="AA64" i="1" s="1"/>
  <c r="M64" i="1"/>
  <c r="E51" i="1"/>
  <c r="Q46" i="1"/>
  <c r="N43" i="1"/>
  <c r="H40" i="1"/>
  <c r="V35" i="1" a="1"/>
  <c r="V35" i="1" s="1"/>
  <c r="AB30" i="1" a="1"/>
  <c r="AB30" i="1" s="1"/>
  <c r="AB26" i="1" a="1"/>
  <c r="AB26" i="1" s="1"/>
  <c r="H21" i="1"/>
  <c r="A20" i="1"/>
  <c r="F19" i="1"/>
  <c r="H17" i="1"/>
  <c r="E16" i="1"/>
  <c r="T66" i="1" a="1"/>
  <c r="T66" i="1" s="1"/>
  <c r="X61" i="1" a="1"/>
  <c r="X61" i="1" s="1"/>
  <c r="Z60" i="1" a="1"/>
  <c r="Z60" i="1" s="1"/>
  <c r="V55" i="1" a="1"/>
  <c r="V55" i="1" s="1"/>
  <c r="R53" i="1"/>
  <c r="V40" i="1" a="1"/>
  <c r="V40" i="1" s="1"/>
  <c r="N39" i="1"/>
  <c r="H38" i="1"/>
  <c r="U35" i="1" a="1"/>
  <c r="U35" i="1" s="1"/>
  <c r="L33" i="1"/>
  <c r="O32" i="1"/>
  <c r="F24" i="1"/>
  <c r="P23" i="1"/>
  <c r="A41" i="1"/>
  <c r="O66" i="1"/>
  <c r="V54" i="1" a="1"/>
  <c r="V54" i="1" s="1"/>
  <c r="A24" i="1"/>
  <c r="N66" i="1"/>
  <c r="X62" i="1" a="1"/>
  <c r="X62" i="1" s="1"/>
  <c r="O61" i="1"/>
  <c r="A58" i="1"/>
  <c r="E58" i="1"/>
  <c r="F58" i="1"/>
  <c r="H58" i="1"/>
  <c r="Y58" i="1" a="1"/>
  <c r="Y58" i="1" s="1"/>
  <c r="A33" i="1"/>
  <c r="M29" i="1"/>
  <c r="N29" i="1"/>
  <c r="O29" i="1"/>
  <c r="E29" i="1"/>
  <c r="F29" i="1"/>
  <c r="G29" i="1"/>
  <c r="H29" i="1"/>
  <c r="AB29" i="1" a="1"/>
  <c r="AB29" i="1" s="1"/>
  <c r="L29" i="1"/>
  <c r="H27" i="1"/>
  <c r="H59" i="1"/>
  <c r="L59" i="1"/>
  <c r="M59" i="1"/>
  <c r="X53" i="1" a="1"/>
  <c r="X53" i="1" s="1"/>
  <c r="A53" i="1"/>
  <c r="M52" i="1"/>
  <c r="H50" i="1"/>
  <c r="H30" i="1"/>
  <c r="AA66" i="1" a="1"/>
  <c r="AA66" i="1" s="1"/>
  <c r="M66" i="1"/>
  <c r="N63" i="1"/>
  <c r="L61" i="1"/>
  <c r="T59" i="1" a="1"/>
  <c r="T59" i="1" s="1"/>
  <c r="O57" i="1"/>
  <c r="K55" i="1"/>
  <c r="F52" i="1"/>
  <c r="J49" i="1"/>
  <c r="T48" i="1" a="1"/>
  <c r="T48" i="1" s="1"/>
  <c r="T36" i="1" a="1"/>
  <c r="T36" i="1" s="1"/>
  <c r="A29" i="1"/>
  <c r="Y54" i="1" a="1"/>
  <c r="Y54" i="1" s="1"/>
  <c r="A45" i="1"/>
  <c r="A21" i="1"/>
  <c r="F62" i="1"/>
  <c r="AB62" i="1" a="1"/>
  <c r="AB62" i="1" s="1"/>
  <c r="L66" i="1"/>
  <c r="Z66" i="1" a="1"/>
  <c r="Z66" i="1" s="1"/>
  <c r="A44" i="1"/>
  <c r="V59" i="1" a="1"/>
  <c r="V59" i="1" s="1"/>
  <c r="M63" i="1"/>
  <c r="L63" i="1"/>
  <c r="N45" i="1"/>
  <c r="N30" i="1"/>
  <c r="O30" i="1"/>
  <c r="L30" i="1"/>
  <c r="M30" i="1"/>
  <c r="AC30" i="1" a="1"/>
  <c r="AC30" i="1" s="1"/>
  <c r="M27" i="1"/>
  <c r="I27" i="1"/>
  <c r="AB27" i="1" a="1"/>
  <c r="AB27" i="1" s="1"/>
  <c r="O27" i="1"/>
  <c r="AC27" i="1" a="1"/>
  <c r="AC27" i="1" s="1"/>
  <c r="Q27" i="1"/>
  <c r="AB53" i="1" a="1"/>
  <c r="AB53" i="1" s="1"/>
  <c r="Y53" i="1" a="1"/>
  <c r="Y53" i="1" s="1"/>
  <c r="K53" i="1"/>
  <c r="Z53" i="1" a="1"/>
  <c r="Z53" i="1" s="1"/>
  <c r="M53" i="1"/>
  <c r="N53" i="1"/>
  <c r="AA53" i="1" a="1"/>
  <c r="AA53" i="1" s="1"/>
  <c r="AB33" i="1" a="1"/>
  <c r="AB33" i="1" s="1"/>
  <c r="AC33" i="1" a="1"/>
  <c r="AC33" i="1" s="1"/>
  <c r="M33" i="1"/>
  <c r="N33" i="1"/>
  <c r="O33" i="1"/>
  <c r="N57" i="1"/>
  <c r="H55" i="1"/>
  <c r="V53" i="1" a="1"/>
  <c r="V53" i="1" s="1"/>
  <c r="T50" i="1" a="1"/>
  <c r="T50" i="1" s="1"/>
  <c r="A50" i="1"/>
  <c r="V50" i="1" a="1"/>
  <c r="V50" i="1" s="1"/>
  <c r="G49" i="1"/>
  <c r="M45" i="1"/>
  <c r="I36" i="1"/>
  <c r="O35" i="1"/>
  <c r="Z61" i="1" a="1"/>
  <c r="Z61" i="1" s="1"/>
  <c r="H61" i="1"/>
  <c r="V58" i="1" a="1"/>
  <c r="V58" i="1" s="1"/>
  <c r="AB57" i="1" a="1"/>
  <c r="AB57" i="1" s="1"/>
  <c r="K57" i="1"/>
  <c r="G55" i="1"/>
  <c r="AA52" i="1" a="1"/>
  <c r="AA52" i="1" s="1"/>
  <c r="Y50" i="1" a="1"/>
  <c r="Y50" i="1" s="1"/>
  <c r="F49" i="1"/>
  <c r="Q48" i="1"/>
  <c r="N41" i="1"/>
  <c r="H36" i="1"/>
  <c r="N35" i="1"/>
  <c r="Y21" i="1" a="1"/>
  <c r="Y21" i="1" s="1"/>
  <c r="H44" i="1"/>
  <c r="I44" i="1"/>
  <c r="M44" i="1"/>
  <c r="N44" i="1"/>
  <c r="H24" i="1"/>
  <c r="X24" i="1" a="1"/>
  <c r="X24" i="1" s="1"/>
  <c r="M24" i="1"/>
  <c r="P24" i="1"/>
  <c r="S24" i="1" a="1"/>
  <c r="S24" i="1" s="1"/>
  <c r="V62" i="1" a="1"/>
  <c r="V62" i="1" s="1"/>
  <c r="M57" i="1"/>
  <c r="AA55" i="1" a="1"/>
  <c r="AA55" i="1" s="1"/>
  <c r="T54" i="1" a="1"/>
  <c r="T54" i="1" s="1"/>
  <c r="G52" i="1"/>
  <c r="H52" i="1"/>
  <c r="X52" i="1" a="1"/>
  <c r="X52" i="1" s="1"/>
  <c r="Y52" i="1" a="1"/>
  <c r="Y52" i="1" s="1"/>
  <c r="K52" i="1"/>
  <c r="Z52" i="1" a="1"/>
  <c r="Z52" i="1" s="1"/>
  <c r="H49" i="1"/>
  <c r="S48" i="1" a="1"/>
  <c r="S48" i="1" s="1"/>
  <c r="K54" i="1"/>
  <c r="S44" i="1" a="1"/>
  <c r="S44" i="1" s="1"/>
  <c r="M41" i="1"/>
  <c r="A30" i="1"/>
  <c r="A27" i="1"/>
  <c r="W24" i="1" a="1"/>
  <c r="W24" i="1" s="1"/>
  <c r="A54" i="1"/>
  <c r="H63" i="1"/>
  <c r="AA49" i="1" a="1"/>
  <c r="AA49" i="1" s="1"/>
  <c r="Q49" i="1"/>
  <c r="S49" i="1" a="1"/>
  <c r="S49" i="1" s="1"/>
  <c r="G48" i="1"/>
  <c r="H45" i="1"/>
  <c r="S35" i="1" a="1"/>
  <c r="S35" i="1" s="1"/>
  <c r="AC35" i="1" a="1"/>
  <c r="AC35" i="1" s="1"/>
  <c r="T35" i="1" a="1"/>
  <c r="T35" i="1" s="1"/>
  <c r="E35" i="1"/>
  <c r="G35" i="1"/>
  <c r="H35" i="1"/>
  <c r="Y35" i="1" a="1"/>
  <c r="Y35" i="1" s="1"/>
  <c r="Z35" i="1" a="1"/>
  <c r="Z35" i="1" s="1"/>
  <c r="L35" i="1"/>
  <c r="M35" i="1"/>
  <c r="E41" i="1"/>
  <c r="V41" i="1" a="1"/>
  <c r="V41" i="1" s="1"/>
  <c r="G41" i="1"/>
  <c r="O41" i="1"/>
  <c r="AB41" i="1" a="1"/>
  <c r="AB41" i="1" s="1"/>
  <c r="E66" i="1"/>
  <c r="V66" i="1" a="1"/>
  <c r="V66" i="1" s="1"/>
  <c r="F66" i="1"/>
  <c r="F63" i="1"/>
  <c r="E61" i="1"/>
  <c r="V61" i="1" a="1"/>
  <c r="V61" i="1" s="1"/>
  <c r="M61" i="1"/>
  <c r="N61" i="1"/>
  <c r="AA61" i="1" a="1"/>
  <c r="AA61" i="1" s="1"/>
  <c r="AB61" i="1" a="1"/>
  <c r="AB61" i="1" s="1"/>
  <c r="N59" i="1"/>
  <c r="AB55" i="1" a="1"/>
  <c r="AB55" i="1" s="1"/>
  <c r="T55" i="1" a="1"/>
  <c r="T55" i="1" s="1"/>
  <c r="Y49" i="1" a="1"/>
  <c r="Y49" i="1" s="1"/>
  <c r="F48" i="1"/>
  <c r="G45" i="1"/>
  <c r="M54" i="1"/>
  <c r="N54" i="1"/>
  <c r="AA54" i="1" a="1"/>
  <c r="AA54" i="1" s="1"/>
  <c r="AB54" i="1" a="1"/>
  <c r="AB54" i="1" s="1"/>
  <c r="AC54" i="1" a="1"/>
  <c r="AC54" i="1" s="1"/>
  <c r="A59" i="1"/>
  <c r="T57" i="1" a="1"/>
  <c r="T57" i="1" s="1"/>
  <c r="A57" i="1"/>
  <c r="E57" i="1"/>
  <c r="F57" i="1"/>
  <c r="G57" i="1"/>
  <c r="H54" i="1"/>
  <c r="A49" i="1"/>
  <c r="G44" i="1"/>
  <c r="A36" i="1"/>
  <c r="Z36" i="1" a="1"/>
  <c r="Z36" i="1" s="1"/>
  <c r="M36" i="1"/>
  <c r="AA36" i="1" a="1"/>
  <c r="AA36" i="1" s="1"/>
  <c r="O36" i="1"/>
  <c r="N36" i="1"/>
  <c r="AB36" i="1" a="1"/>
  <c r="AB36" i="1" s="1"/>
  <c r="AC36" i="1" a="1"/>
  <c r="AC36" i="1" s="1"/>
  <c r="R36" i="1"/>
  <c r="A35" i="1"/>
  <c r="I45" i="1"/>
  <c r="S45" i="1" a="1"/>
  <c r="S45" i="1" s="1"/>
  <c r="T45" i="1" a="1"/>
  <c r="T45" i="1" s="1"/>
  <c r="E21" i="1"/>
  <c r="F21" i="1"/>
  <c r="G21" i="1"/>
  <c r="L21" i="1"/>
  <c r="N21" i="1"/>
  <c r="O21" i="1"/>
  <c r="R21" i="1"/>
  <c r="G63" i="1"/>
  <c r="S63" i="1" a="1"/>
  <c r="S63" i="1" s="1"/>
  <c r="A63" i="1"/>
  <c r="G59" i="1"/>
  <c r="G54" i="1"/>
  <c r="S53" i="1" a="1"/>
  <c r="S53" i="1" s="1"/>
  <c r="H48" i="1"/>
  <c r="I48" i="1"/>
  <c r="M48" i="1"/>
  <c r="E45" i="1"/>
  <c r="F44" i="1"/>
  <c r="I41" i="1"/>
  <c r="U33" i="1" a="1"/>
  <c r="U33" i="1" s="1"/>
  <c r="U21" i="1" a="1"/>
  <c r="U21" i="1" s="1"/>
  <c r="F22" i="1"/>
  <c r="G22" i="1"/>
  <c r="H22" i="1"/>
  <c r="I25" i="1"/>
  <c r="X22" i="1" a="1"/>
  <c r="X22" i="1" s="1"/>
  <c r="L46" i="1"/>
  <c r="F42" i="1"/>
  <c r="H42" i="1"/>
  <c r="M39" i="1"/>
  <c r="U37" i="1" a="1"/>
  <c r="U37" i="1" s="1"/>
  <c r="L32" i="1"/>
  <c r="M28" i="1"/>
  <c r="N28" i="1"/>
  <c r="V22" i="1" a="1"/>
  <c r="V22" i="1" s="1"/>
  <c r="A22" i="1"/>
  <c r="V46" i="1" a="1"/>
  <c r="V46" i="1" s="1"/>
  <c r="V37" i="1" a="1"/>
  <c r="V37" i="1" s="1"/>
  <c r="A37" i="1"/>
  <c r="O31" i="1"/>
  <c r="AB31" i="1" a="1"/>
  <c r="AB31" i="1" s="1"/>
  <c r="A25" i="1"/>
  <c r="E64" i="1"/>
  <c r="A46" i="1"/>
  <c r="A42" i="1"/>
  <c r="S34" i="1" a="1"/>
  <c r="S34" i="1" s="1"/>
  <c r="AC34" i="1" a="1"/>
  <c r="AC34" i="1" s="1"/>
  <c r="A28" i="1"/>
  <c r="A56" i="1"/>
  <c r="A31" i="1"/>
  <c r="U25" i="1" a="1"/>
  <c r="U25" i="1" s="1"/>
  <c r="T22" i="1" a="1"/>
  <c r="T22" i="1" s="1"/>
  <c r="A64" i="1"/>
  <c r="T56" i="1" a="1"/>
  <c r="T56" i="1" s="1"/>
  <c r="AA51" i="1" a="1"/>
  <c r="AA51" i="1" s="1"/>
  <c r="M47" i="1"/>
  <c r="G43" i="1"/>
  <c r="I43" i="1"/>
  <c r="T42" i="1" a="1"/>
  <c r="T42" i="1" s="1"/>
  <c r="H39" i="1"/>
  <c r="G32" i="1"/>
  <c r="U31" i="1" a="1"/>
  <c r="U31" i="1" s="1"/>
  <c r="G23" i="1"/>
  <c r="W23" i="1" a="1"/>
  <c r="W23" i="1" s="1"/>
  <c r="H23" i="1"/>
  <c r="X23" i="1" a="1"/>
  <c r="X23" i="1" s="1"/>
  <c r="I39" i="1"/>
  <c r="V51" i="1" a="1"/>
  <c r="V51" i="1" s="1"/>
  <c r="U34" i="1" a="1"/>
  <c r="U34" i="1" s="1"/>
  <c r="S22" i="1" a="1"/>
  <c r="S22" i="1" s="1"/>
  <c r="E39" i="1"/>
  <c r="V39" i="1" a="1"/>
  <c r="V39" i="1" s="1"/>
  <c r="AB32" i="1" a="1"/>
  <c r="AB32" i="1" s="1"/>
  <c r="Q22" i="1"/>
  <c r="F20" i="1"/>
  <c r="F12" i="1"/>
  <c r="Y7" i="1" a="1"/>
  <c r="Y7" i="1" s="1"/>
  <c r="R19" i="1"/>
  <c r="E14" i="1"/>
  <c r="W3" i="1" a="1"/>
  <c r="W3" i="1" s="1"/>
  <c r="M19" i="1"/>
  <c r="H12" i="1"/>
  <c r="A19" i="1"/>
  <c r="M17" i="1"/>
  <c r="AB19" i="1" a="1"/>
  <c r="AB19" i="1" s="1"/>
  <c r="AA19" i="1" a="1"/>
  <c r="AA19" i="1" s="1"/>
  <c r="Z19" i="1" a="1"/>
  <c r="Z19" i="1" s="1"/>
  <c r="E17" i="1"/>
  <c r="X19" i="1" a="1"/>
  <c r="X19" i="1" s="1"/>
  <c r="V19" i="1" a="1"/>
  <c r="V19" i="1" s="1"/>
  <c r="F9" i="1"/>
  <c r="I17" i="1"/>
  <c r="Y17" i="1" a="1"/>
  <c r="Y17" i="1" s="1"/>
  <c r="W17" i="1" a="1"/>
  <c r="W17" i="1" s="1"/>
  <c r="M18" i="1"/>
  <c r="A17" i="1"/>
  <c r="U17" i="1" a="1"/>
  <c r="U17" i="1" s="1"/>
  <c r="Y18" i="1" a="1"/>
  <c r="Y18" i="1" s="1"/>
  <c r="N18" i="1"/>
  <c r="S17" i="1" a="1"/>
  <c r="S17" i="1" s="1"/>
  <c r="R17" i="1"/>
  <c r="A18" i="1"/>
  <c r="H16" i="1"/>
  <c r="I16" i="1"/>
  <c r="A16" i="1"/>
  <c r="K19" i="1"/>
  <c r="Y19" i="1" a="1"/>
  <c r="Y19" i="1" s="1"/>
  <c r="S19" i="1" a="1"/>
  <c r="S19" i="1" s="1"/>
  <c r="AC3" i="1" a="1"/>
  <c r="AC3" i="1" s="1"/>
  <c r="Z12" i="1" a="1"/>
  <c r="Z12" i="1" s="1"/>
  <c r="O15" i="1"/>
  <c r="AC9" i="1" a="1"/>
  <c r="AC9" i="1" s="1"/>
  <c r="AB9" i="1" a="1"/>
  <c r="AB9" i="1" s="1"/>
  <c r="H14" i="1"/>
  <c r="U3" i="1" a="1"/>
  <c r="U3" i="1" s="1"/>
  <c r="AA12" i="1" a="1"/>
  <c r="AA12" i="1" s="1"/>
  <c r="E9" i="1"/>
  <c r="AB8" i="1" a="1"/>
  <c r="AB8" i="1" s="1"/>
  <c r="Y8" i="1" a="1"/>
  <c r="Y8" i="1" s="1"/>
  <c r="J8" i="1"/>
  <c r="H8" i="1"/>
  <c r="H10" i="1"/>
  <c r="A10" i="1"/>
  <c r="AC10" i="1" a="1"/>
  <c r="AC10" i="1" s="1"/>
  <c r="M12" i="1"/>
  <c r="Z14" i="1" a="1"/>
  <c r="Z14" i="1" s="1"/>
  <c r="Y14" i="1" a="1"/>
  <c r="Y14" i="1" s="1"/>
  <c r="N9" i="1"/>
  <c r="M3" i="1"/>
  <c r="M14" i="1"/>
  <c r="H6" i="1"/>
  <c r="H9" i="1"/>
  <c r="E6" i="1"/>
  <c r="E3" i="1"/>
  <c r="A13" i="1"/>
  <c r="J14" i="1"/>
  <c r="F5" i="1"/>
  <c r="E5" i="1"/>
  <c r="Y15" i="1" a="1"/>
  <c r="Y15" i="1" s="1"/>
  <c r="F15" i="1"/>
  <c r="N14" i="1"/>
  <c r="AC8" i="1" a="1"/>
  <c r="AC8" i="1" s="1"/>
  <c r="Y6" i="1" a="1"/>
  <c r="Y6" i="1" s="1"/>
  <c r="AA14" i="1" a="1"/>
  <c r="AA14" i="1" s="1"/>
  <c r="I14" i="1"/>
  <c r="F8" i="1"/>
  <c r="F6" i="1"/>
  <c r="X15" i="1" a="1"/>
  <c r="X15" i="1" s="1"/>
  <c r="A11" i="1"/>
  <c r="X13" i="1" a="1"/>
  <c r="X13" i="1" s="1"/>
  <c r="G10" i="1"/>
  <c r="M9" i="1"/>
  <c r="W7" i="1" a="1"/>
  <c r="W7" i="1" s="1"/>
  <c r="X14" i="1" a="1"/>
  <c r="X14" i="1" s="1"/>
  <c r="U8" i="1" a="1"/>
  <c r="U8" i="1" s="1"/>
  <c r="W5" i="1" a="1"/>
  <c r="W5" i="1" s="1"/>
  <c r="W13" i="1" a="1"/>
  <c r="W13" i="1" s="1"/>
  <c r="I12" i="1"/>
  <c r="F10" i="1"/>
  <c r="L9" i="1"/>
  <c r="J3" i="1"/>
  <c r="L15" i="1"/>
  <c r="U7" i="1" a="1"/>
  <c r="U7" i="1" s="1"/>
  <c r="H3" i="1"/>
  <c r="V15" i="1" a="1"/>
  <c r="V15" i="1" s="1"/>
  <c r="U13" i="1" a="1"/>
  <c r="U13" i="1" s="1"/>
  <c r="F7" i="1"/>
  <c r="Y3" i="1" a="1"/>
  <c r="Y3" i="1" s="1"/>
  <c r="A15" i="1"/>
  <c r="AC5" i="1" a="1"/>
  <c r="AC5" i="1" s="1"/>
  <c r="E7" i="1"/>
  <c r="F3" i="1"/>
  <c r="R15" i="1"/>
  <c r="A8" i="1"/>
  <c r="AA15" i="1" a="1"/>
  <c r="AA15" i="1" s="1"/>
  <c r="I15" i="1"/>
  <c r="A5" i="1"/>
  <c r="H15" i="1"/>
  <c r="R14" i="1"/>
  <c r="M8" i="1"/>
  <c r="W8" i="1" a="1"/>
  <c r="W8" i="1" s="1"/>
  <c r="N5" i="1"/>
  <c r="J4" i="1"/>
  <c r="F4" i="1"/>
  <c r="W4" i="1" a="1"/>
  <c r="W4" i="1" s="1"/>
  <c r="Y4" i="1" a="1"/>
  <c r="Y4" i="1" s="1"/>
  <c r="M4" i="1"/>
  <c r="Q4" i="1"/>
  <c r="R4" i="1"/>
  <c r="T4" i="1" a="1"/>
  <c r="T4" i="1" s="1"/>
  <c r="E4" i="1"/>
  <c r="AA4" i="1" a="1"/>
  <c r="AA4" i="1" s="1"/>
  <c r="AC4" i="1" a="1"/>
  <c r="AC4" i="1" s="1"/>
  <c r="A4" i="1"/>
  <c r="H4" i="1"/>
  <c r="S13" i="1" a="1"/>
  <c r="S13" i="1" s="1"/>
  <c r="M13" i="1"/>
  <c r="N13" i="1"/>
  <c r="AA13" i="1" a="1"/>
  <c r="AA13" i="1" s="1"/>
  <c r="R13" i="1"/>
  <c r="F13" i="1"/>
  <c r="Y13" i="1" a="1"/>
  <c r="Y13" i="1" s="1"/>
  <c r="H13" i="1"/>
  <c r="I13" i="1"/>
  <c r="J13" i="1"/>
  <c r="O13" i="1"/>
  <c r="M6" i="1"/>
  <c r="P6" i="1"/>
  <c r="AB6" i="1" a="1"/>
  <c r="AB6" i="1" s="1"/>
  <c r="AC6" i="1" a="1"/>
  <c r="AC6" i="1" s="1"/>
  <c r="U6" i="1" a="1"/>
  <c r="U6" i="1" s="1"/>
  <c r="W6" i="1" a="1"/>
  <c r="W6" i="1" s="1"/>
  <c r="A6" i="1"/>
  <c r="M7" i="1"/>
  <c r="Z7" i="1" a="1"/>
  <c r="Z7" i="1" s="1"/>
  <c r="R12" i="1"/>
  <c r="J12" i="1"/>
  <c r="Y12" i="1" a="1"/>
  <c r="Y12" i="1" s="1"/>
  <c r="P11" i="1"/>
  <c r="A14" i="1"/>
  <c r="A12" i="1"/>
  <c r="N7" i="1"/>
  <c r="V12" i="1" a="1"/>
  <c r="V12" i="1" s="1"/>
  <c r="AC11" i="1" a="1"/>
  <c r="AC11" i="1" s="1"/>
  <c r="AC7" i="1" a="1"/>
  <c r="AC7" i="1" s="1"/>
  <c r="J7" i="1"/>
  <c r="Y5" i="1" a="1"/>
  <c r="Y5" i="1" s="1"/>
  <c r="J5" i="1"/>
  <c r="M5" i="1"/>
  <c r="O5" i="1"/>
  <c r="P5" i="1"/>
  <c r="AB5" i="1" a="1"/>
  <c r="AB5" i="1" s="1"/>
  <c r="F11" i="1"/>
  <c r="T12" i="1" a="1"/>
  <c r="T12" i="1" s="1"/>
  <c r="AA7" i="1" a="1"/>
  <c r="AA7" i="1" s="1"/>
  <c r="H7" i="1"/>
  <c r="G11" i="1"/>
  <c r="H11" i="1"/>
  <c r="E15" i="1"/>
  <c r="E10" i="1"/>
  <c r="A9" i="1"/>
  <c r="S15" i="1" a="1"/>
  <c r="S15" i="1" s="1"/>
  <c r="F23" i="2"/>
  <c r="F24" i="2"/>
  <c r="F10" i="2"/>
  <c r="F11" i="2"/>
  <c r="F67" i="2"/>
  <c r="F68" i="2"/>
  <c r="F69" i="2"/>
  <c r="F70" i="2"/>
  <c r="F71" i="2"/>
  <c r="F72" i="2"/>
  <c r="F73" i="2"/>
  <c r="F74" i="2"/>
  <c r="F75" i="2"/>
  <c r="F76" i="2"/>
  <c r="F77" i="2"/>
  <c r="F49" i="2"/>
  <c r="L61" i="4"/>
  <c r="D61" i="4"/>
  <c r="L7" i="4" l="1"/>
  <c r="G7" i="1" s="1"/>
  <c r="L8" i="4"/>
  <c r="G8" i="1" s="1"/>
  <c r="L9" i="4"/>
  <c r="G9" i="1" s="1"/>
  <c r="L10" i="4"/>
  <c r="G12" i="1" s="1"/>
  <c r="L11" i="4"/>
  <c r="G13" i="1" s="1"/>
  <c r="L12" i="4"/>
  <c r="G14" i="1" s="1"/>
  <c r="L14" i="4"/>
  <c r="L15" i="4"/>
  <c r="G16" i="1" s="1"/>
  <c r="L16" i="4"/>
  <c r="G17" i="1" s="1"/>
  <c r="L17" i="4"/>
  <c r="G18" i="1" s="1"/>
  <c r="L18" i="4"/>
  <c r="G19" i="1" s="1"/>
  <c r="L19" i="4"/>
  <c r="L20" i="4"/>
  <c r="L21" i="4"/>
  <c r="L22" i="4"/>
  <c r="L23" i="4"/>
  <c r="L24" i="4"/>
  <c r="L25" i="4"/>
  <c r="L26" i="4"/>
  <c r="L27" i="4"/>
  <c r="L28" i="4"/>
  <c r="L29" i="4"/>
  <c r="L30" i="4"/>
  <c r="L31" i="4"/>
  <c r="L32" i="4"/>
  <c r="L33" i="4"/>
  <c r="L34" i="4"/>
  <c r="L35" i="4"/>
  <c r="L36" i="4"/>
  <c r="L37" i="4"/>
  <c r="L38" i="4"/>
  <c r="L39" i="4"/>
  <c r="L40" i="4"/>
  <c r="L41" i="4"/>
  <c r="L42" i="4"/>
  <c r="L43" i="4"/>
  <c r="L44" i="4"/>
  <c r="L45" i="4"/>
  <c r="L48" i="4"/>
  <c r="L49" i="4"/>
  <c r="L50" i="4"/>
  <c r="L51" i="4"/>
  <c r="L52" i="4"/>
  <c r="L53" i="4"/>
  <c r="L54" i="4"/>
  <c r="L55" i="4"/>
  <c r="L56" i="4"/>
  <c r="L57" i="4"/>
  <c r="L58" i="4"/>
  <c r="L59" i="4"/>
  <c r="L60" i="4"/>
  <c r="L62" i="4"/>
  <c r="L2" i="4"/>
  <c r="L3" i="4"/>
  <c r="G3" i="1" s="1"/>
  <c r="L4" i="4"/>
  <c r="G4" i="1" s="1"/>
  <c r="L5" i="4"/>
  <c r="G5" i="1" s="1"/>
  <c r="L6" i="4"/>
  <c r="G6" i="1" s="1"/>
  <c r="C2" i="1"/>
  <c r="F2" i="1" s="1"/>
  <c r="F39" i="2"/>
  <c r="F40" i="2"/>
  <c r="F41" i="2"/>
  <c r="D34" i="4"/>
  <c r="D35" i="4"/>
  <c r="D36" i="4"/>
  <c r="F57" i="2"/>
  <c r="D62" i="4"/>
  <c r="D60" i="4"/>
  <c r="F2" i="2"/>
  <c r="F3" i="2"/>
  <c r="F4" i="2"/>
  <c r="F5" i="2"/>
  <c r="F6" i="2"/>
  <c r="F7" i="2"/>
  <c r="F8" i="2"/>
  <c r="F9" i="2"/>
  <c r="F25" i="2"/>
  <c r="F26" i="2"/>
  <c r="F27" i="2"/>
  <c r="F28" i="2"/>
  <c r="F29" i="2"/>
  <c r="F30" i="2"/>
  <c r="F31" i="2"/>
  <c r="F32" i="2"/>
  <c r="F33" i="2"/>
  <c r="F34" i="2"/>
  <c r="F35" i="2"/>
  <c r="F64" i="2"/>
  <c r="F65" i="2"/>
  <c r="F66" i="2"/>
  <c r="F36" i="2"/>
  <c r="F37" i="2"/>
  <c r="F38" i="2"/>
  <c r="F42" i="2"/>
  <c r="F43" i="2"/>
  <c r="F44" i="2"/>
  <c r="F45" i="2"/>
  <c r="F47" i="2"/>
  <c r="F48" i="2"/>
  <c r="F50" i="2"/>
  <c r="F51" i="2"/>
  <c r="F52" i="2"/>
  <c r="F53" i="2"/>
  <c r="F54" i="2"/>
  <c r="F55" i="2"/>
  <c r="F56" i="2"/>
  <c r="F58" i="2"/>
  <c r="F59" i="2"/>
  <c r="F60" i="2"/>
  <c r="F61" i="2"/>
  <c r="F62" i="2"/>
  <c r="F63" i="2"/>
  <c r="F12" i="2"/>
  <c r="F13" i="2"/>
  <c r="F14" i="2"/>
  <c r="F15" i="2"/>
  <c r="F16" i="2"/>
  <c r="F17" i="2"/>
  <c r="F18" i="2"/>
  <c r="F19" i="2"/>
  <c r="F22" i="2"/>
  <c r="D4" i="4"/>
  <c r="D5" i="4"/>
  <c r="D6" i="4"/>
  <c r="D7" i="4"/>
  <c r="D8" i="4"/>
  <c r="D9" i="4"/>
  <c r="D11" i="4"/>
  <c r="D12" i="4"/>
  <c r="D14" i="4"/>
  <c r="D15" i="4"/>
  <c r="D17" i="4"/>
  <c r="D18" i="4"/>
  <c r="D19" i="4"/>
  <c r="D20" i="4"/>
  <c r="D21" i="4"/>
  <c r="D22" i="4"/>
  <c r="D23" i="4"/>
  <c r="D24" i="4"/>
  <c r="D25" i="4"/>
  <c r="D26" i="4"/>
  <c r="D27" i="4"/>
  <c r="D28" i="4"/>
  <c r="D30" i="4"/>
  <c r="D31" i="4"/>
  <c r="D32" i="4"/>
  <c r="D33" i="4"/>
  <c r="D37" i="4"/>
  <c r="D38" i="4"/>
  <c r="D39" i="4"/>
  <c r="D40" i="4"/>
  <c r="D42" i="4"/>
  <c r="D43" i="4"/>
  <c r="D44" i="4"/>
  <c r="D45" i="4"/>
  <c r="D48" i="4"/>
  <c r="D49" i="4"/>
  <c r="D50" i="4"/>
  <c r="D51" i="4"/>
  <c r="D52" i="4"/>
  <c r="D53" i="4"/>
  <c r="D54" i="4"/>
  <c r="D55" i="4"/>
  <c r="D56" i="4"/>
  <c r="D57" i="4"/>
  <c r="D58" i="4"/>
  <c r="D59" i="4"/>
  <c r="D2" i="4"/>
  <c r="G15" i="1" l="1"/>
  <c r="H2" i="1"/>
  <c r="E2" i="1"/>
  <c r="G2" i="1"/>
  <c r="P2" i="1"/>
  <c r="O2" i="1"/>
  <c r="A2" i="1"/>
  <c r="AC2" i="1" a="1"/>
  <c r="AC2" i="1" s="1"/>
  <c r="AB2" i="1" a="1"/>
  <c r="AB2" i="1" s="1"/>
  <c r="Y2" i="1" a="1"/>
  <c r="Y2" i="1" s="1"/>
  <c r="W2" i="1" a="1"/>
  <c r="W2" i="1" s="1"/>
  <c r="U2" i="1" a="1"/>
  <c r="U2" i="1" s="1"/>
  <c r="M2" i="1"/>
  <c r="J2" i="1"/>
  <c r="N2" i="1"/>
  <c r="B31" i="1" l="1"/>
  <c r="B29" i="1"/>
  <c r="B60" i="1"/>
  <c r="B33" i="1"/>
  <c r="B61" i="1"/>
  <c r="B24" i="1"/>
  <c r="B41" i="1"/>
  <c r="B46" i="1"/>
  <c r="B42" i="1"/>
  <c r="B48" i="1"/>
  <c r="B66" i="1"/>
  <c r="B34" i="1"/>
  <c r="B55" i="1"/>
  <c r="B49" i="1"/>
  <c r="B25" i="1"/>
  <c r="B37" i="1"/>
  <c r="B27" i="1"/>
  <c r="B39" i="1"/>
  <c r="B20" i="1"/>
  <c r="B50" i="1"/>
  <c r="B62" i="1"/>
  <c r="B57" i="1"/>
  <c r="B63" i="1"/>
  <c r="B59" i="1"/>
  <c r="B53" i="1"/>
  <c r="B56" i="1"/>
  <c r="B43" i="1"/>
  <c r="B47" i="1"/>
  <c r="B22" i="1"/>
  <c r="B44" i="1"/>
  <c r="B21" i="1"/>
  <c r="B30" i="1"/>
  <c r="B45" i="1"/>
  <c r="B65" i="1"/>
  <c r="B52" i="1"/>
  <c r="B35" i="1"/>
  <c r="B51" i="1"/>
  <c r="B26" i="1"/>
  <c r="B64" i="1"/>
  <c r="B38" i="1"/>
  <c r="B32" i="1"/>
  <c r="B58" i="1"/>
  <c r="B28" i="1"/>
  <c r="B23" i="1"/>
  <c r="B36" i="1"/>
  <c r="B40" i="1"/>
  <c r="B54" i="1"/>
  <c r="B17" i="1"/>
  <c r="B16" i="1"/>
  <c r="B18" i="1"/>
  <c r="B19" i="1"/>
  <c r="B3" i="1"/>
  <c r="B8" i="1"/>
  <c r="B10" i="1"/>
  <c r="B5" i="1"/>
  <c r="B14" i="1"/>
  <c r="B6" i="1"/>
  <c r="B12" i="1"/>
  <c r="B9" i="1"/>
  <c r="B7" i="1"/>
  <c r="B15" i="1"/>
  <c r="B11" i="1"/>
  <c r="B13" i="1"/>
  <c r="B4" i="1"/>
  <c r="B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<sst xmlns="http://schemas.openxmlformats.org/spreadsheetml/2006/main" count="2025" uniqueCount="302">
  <si>
    <t>Category</t>
  </si>
  <si>
    <t>ID</t>
  </si>
  <si>
    <t>Moderate</t>
  </si>
  <si>
    <t>Speed Management</t>
  </si>
  <si>
    <t>Countermeasure</t>
  </si>
  <si>
    <t>CMF</t>
  </si>
  <si>
    <t>Remove Severe Conflicts</t>
  </si>
  <si>
    <t>Reduce Vehicle Speeds</t>
  </si>
  <si>
    <t>Manage Conflicts in Time</t>
  </si>
  <si>
    <t>Increase Attentiveness &amp; Awareness</t>
  </si>
  <si>
    <t>High</t>
  </si>
  <si>
    <t>Low</t>
  </si>
  <si>
    <t>Estimated Effectiveness</t>
  </si>
  <si>
    <t>Estimated Implementation Cost</t>
  </si>
  <si>
    <t>All way stop control</t>
  </si>
  <si>
    <t>Install traffic signal</t>
  </si>
  <si>
    <t>Oversized signs (curve/advance intersection)</t>
  </si>
  <si>
    <t>High reflectivity signs (curve/advance intersection)</t>
  </si>
  <si>
    <t>Roundabouts</t>
  </si>
  <si>
    <t>Reflective Signal backplates</t>
  </si>
  <si>
    <t>Advance signal warning flashers</t>
  </si>
  <si>
    <t>Advanced Dilemma Zone</t>
  </si>
  <si>
    <t>Speed feedback signs</t>
  </si>
  <si>
    <t>Shared use path</t>
  </si>
  <si>
    <t>Flashing Yellow Arrow (FYA) signals</t>
  </si>
  <si>
    <t>Intersection conflict warning system (unsignalized int.)</t>
  </si>
  <si>
    <t>Wider edge lines</t>
  </si>
  <si>
    <t>Refuge island</t>
  </si>
  <si>
    <t>Corridor signal timing to reduce high-speed flow</t>
  </si>
  <si>
    <t>Improve bike lane protection</t>
  </si>
  <si>
    <t>Speed safety cameras</t>
  </si>
  <si>
    <t>Edgeline/shoulder rumble strips</t>
  </si>
  <si>
    <t>Centerline rumble strips</t>
  </si>
  <si>
    <t>Side slope enhancements</t>
  </si>
  <si>
    <t>Median</t>
  </si>
  <si>
    <t>Appropriate speed limits for all users</t>
  </si>
  <si>
    <t>Protected intersections</t>
  </si>
  <si>
    <t>Leading ped/bike interval</t>
  </si>
  <si>
    <t>Protected-only left/right turns</t>
  </si>
  <si>
    <t>Hardened centerlines</t>
  </si>
  <si>
    <t>Traffic calming</t>
  </si>
  <si>
    <t>Transverse rumble strips</t>
  </si>
  <si>
    <t>Category (FHWA)</t>
  </si>
  <si>
    <t>Pedestrian and Bicyclist</t>
  </si>
  <si>
    <t>Roadway Departure</t>
  </si>
  <si>
    <t>Intersections</t>
  </si>
  <si>
    <t>Crosscutting</t>
  </si>
  <si>
    <t>PSC Category</t>
  </si>
  <si>
    <t>x</t>
  </si>
  <si>
    <t>Add Bike lanes</t>
  </si>
  <si>
    <t>Proven Safety Countermeasure</t>
  </si>
  <si>
    <t>MnDOT District Roadway Safety "Big Book of Ideas"</t>
  </si>
  <si>
    <t>High friction surface treatment (HFST)</t>
  </si>
  <si>
    <t>order</t>
  </si>
  <si>
    <t>Matched CMF</t>
  </si>
  <si>
    <t>CRF (%)</t>
  </si>
  <si>
    <t>Applicable crashes</t>
  </si>
  <si>
    <t>Driveway improvement (access management)</t>
  </si>
  <si>
    <t>Midblock KSI</t>
  </si>
  <si>
    <t>Local Intersection, Injury (equity)</t>
  </si>
  <si>
    <t>Posted Speed 40+ mph (equity)</t>
  </si>
  <si>
    <t>Signalized Intersection KSI (equity)</t>
  </si>
  <si>
    <t>Suburban 3-4 lane, Intersection</t>
  </si>
  <si>
    <t>Bike Crashes, Intersection, with Facility</t>
  </si>
  <si>
    <t>Bike Crashes, No facility, midblock (equity)</t>
  </si>
  <si>
    <t>Commercial Areas, Urban</t>
  </si>
  <si>
    <t>Bike Crashes, intersection turning conflicts</t>
  </si>
  <si>
    <t>Posted Speed &lt;= 35 mph, intersection</t>
  </si>
  <si>
    <t>Speeding related vehicle crashes</t>
  </si>
  <si>
    <t>Lane narrowing</t>
  </si>
  <si>
    <t>Improved advance signage and marking visibility (systemic signing/marking), stop-controlled</t>
  </si>
  <si>
    <t>Improved advance signage and marking visibility (systemic signing/marking) signalized</t>
  </si>
  <si>
    <t>Introducing zero or positive offset left-turn lane on crossing roadway</t>
  </si>
  <si>
    <t>Increase triangle sight distance</t>
  </si>
  <si>
    <t>Install post-mounted intersection conflict warning system (ICWS) with flashers on major street and loops on minor street</t>
  </si>
  <si>
    <t>Improve Angle of Channelized Right Turn Lane</t>
  </si>
  <si>
    <t>Change right-turn lane geometry to increase line of sight (Intersection Level)</t>
  </si>
  <si>
    <t>Change right-turn lane geometry to increase line of sight (Approach Level)</t>
  </si>
  <si>
    <t>Change Intersection Sight Distance</t>
  </si>
  <si>
    <t>Change Intersection Skew Angle</t>
  </si>
  <si>
    <t>Urban Segments</t>
  </si>
  <si>
    <t>a) Urban Segments; Rural Segments</t>
  </si>
  <si>
    <t>b) Urban Segments; Urban Intersections</t>
  </si>
  <si>
    <t>c) Rural Segments; Rural Intersections</t>
  </si>
  <si>
    <t>Rural Segments</t>
  </si>
  <si>
    <t>Rural Curves</t>
  </si>
  <si>
    <t>d) Rural Segments; Rural Curves</t>
  </si>
  <si>
    <t>e) Rural Segments; Rural Curves; Rural Intersections</t>
  </si>
  <si>
    <t>Dynamic chevrons/curve signing</t>
  </si>
  <si>
    <t>f) Rural Curves; Rural Intersections</t>
  </si>
  <si>
    <t>all except Rural Segments</t>
  </si>
  <si>
    <t>g) Rural Segments; Urban Segments; Urban Intersections</t>
  </si>
  <si>
    <t>h) Rural Intersections; Urban Intersections</t>
  </si>
  <si>
    <t>Rural Intersections</t>
  </si>
  <si>
    <t>Urban Intersections</t>
  </si>
  <si>
    <t>all</t>
  </si>
  <si>
    <t>High Visibility Crosswalk markings</t>
  </si>
  <si>
    <t>Parking restriction on crosswalk approach</t>
  </si>
  <si>
    <t>Lighting (segment)</t>
  </si>
  <si>
    <t>Lighting (intersection)</t>
  </si>
  <si>
    <t>Source</t>
  </si>
  <si>
    <t>Install dynamic speed feedback sign</t>
  </si>
  <si>
    <t>All Crashes</t>
  </si>
  <si>
    <t>Context</t>
  </si>
  <si>
    <t>High crash curves, rural roadway</t>
  </si>
  <si>
    <t>CMF 6885</t>
  </si>
  <si>
    <t>-</t>
  </si>
  <si>
    <t>Horizontal Chicanes</t>
  </si>
  <si>
    <t>Adaptive signal control</t>
  </si>
  <si>
    <t>FHWA helper</t>
  </si>
  <si>
    <t>Injury Crashes</t>
  </si>
  <si>
    <t>Big Book</t>
  </si>
  <si>
    <t>Installation of fixed speed cameras</t>
  </si>
  <si>
    <t>Fatal</t>
  </si>
  <si>
    <t>HSM</t>
  </si>
  <si>
    <t>reduction of speed by 1%</t>
  </si>
  <si>
    <t>Area or corridor wide traffic calming measures</t>
  </si>
  <si>
    <t>CMF 586</t>
  </si>
  <si>
    <t>Urban local roads</t>
  </si>
  <si>
    <t>CMF 7827</t>
  </si>
  <si>
    <t>12 ft to 10 ft, rural</t>
  </si>
  <si>
    <t>Reduce lane width</t>
  </si>
  <si>
    <t>Install transverse rumble strips on stop controlled approaches in rural areas</t>
  </si>
  <si>
    <t>Rural, stop-controlled appraoches</t>
  </si>
  <si>
    <t>CMF 9049</t>
  </si>
  <si>
    <t>Protected intersection</t>
  </si>
  <si>
    <t>"Classic" Road Diet - Convert 4-lane undivided road to 2 lanes + TWLTL + bike lane</t>
  </si>
  <si>
    <t>Segment crashes</t>
  </si>
  <si>
    <t>CMF 11129</t>
  </si>
  <si>
    <t>Center Island Medians and Pedestrian Refuge Islands/Median Island</t>
  </si>
  <si>
    <t>Appropriately Timed Yellow Change Intervals</t>
  </si>
  <si>
    <t>Increase yellow change interval (to greater than ITE practice)</t>
  </si>
  <si>
    <t>CMF 4221</t>
  </si>
  <si>
    <t>Rear end</t>
  </si>
  <si>
    <t>CMF 9121</t>
  </si>
  <si>
    <t>Notes</t>
  </si>
  <si>
    <t>86% reduction in fatal vehicle/bike crashes</t>
  </si>
  <si>
    <t>Bike lane</t>
  </si>
  <si>
    <t>Convert Traditional Bike Lane to Separated Bike with a blend of Flexi-post and other Vertical Elements</t>
  </si>
  <si>
    <t>Bicycle Crashes</t>
  </si>
  <si>
    <t>CMF 11301</t>
  </si>
  <si>
    <t>Implement Leading Pedestrian Interval</t>
  </si>
  <si>
    <t>CMF 9916</t>
  </si>
  <si>
    <t>Pedestrian Crashes</t>
  </si>
  <si>
    <t>Install safety edge treatment</t>
  </si>
  <si>
    <t>Run Off Road Crashes</t>
  </si>
  <si>
    <t>CMF 9211</t>
  </si>
  <si>
    <t>Widen shoulder width to 5 feet or greater</t>
  </si>
  <si>
    <t>Injury crashes</t>
  </si>
  <si>
    <t>CMF 3653</t>
  </si>
  <si>
    <t>Rollover</t>
  </si>
  <si>
    <t>Install Lighting</t>
  </si>
  <si>
    <t>Install intersection Lighting</t>
  </si>
  <si>
    <t>Nighttime Crashes</t>
  </si>
  <si>
    <t>CMF 4462</t>
  </si>
  <si>
    <t>CMF 7774</t>
  </si>
  <si>
    <t>All severities</t>
  </si>
  <si>
    <t>horizontal curves</t>
  </si>
  <si>
    <t>CMF 10333</t>
  </si>
  <si>
    <t>Install High friction surface treatment (HFST)</t>
  </si>
  <si>
    <t>CMF 307</t>
  </si>
  <si>
    <t>Remove skew / realign intersections</t>
  </si>
  <si>
    <t>varies based on existing skew</t>
  </si>
  <si>
    <t>CMF 8498</t>
  </si>
  <si>
    <t>CMF 8497</t>
  </si>
  <si>
    <t>Varies</t>
  </si>
  <si>
    <t>varies as function of improvements</t>
  </si>
  <si>
    <t>CMF 9656</t>
  </si>
  <si>
    <t>Right Turn Crashes</t>
  </si>
  <si>
    <t>CMF 8431</t>
  </si>
  <si>
    <t>Angle Crashes</t>
  </si>
  <si>
    <t>CMF 277</t>
  </si>
  <si>
    <t>Convert an Intersection into a Continuous Green T Intersection</t>
  </si>
  <si>
    <t>Convert unsignalized intersection to unsignalized superstreet (RCUT)</t>
  </si>
  <si>
    <t>CMF 4884</t>
  </si>
  <si>
    <t>CMF 8656</t>
  </si>
  <si>
    <t>CMF 9984</t>
  </si>
  <si>
    <t>CMF 10865</t>
  </si>
  <si>
    <t>Convert signalized intersection to signalized superstreet (RCUT)</t>
  </si>
  <si>
    <t>Alternative intersections - Unsignalized RCUT</t>
  </si>
  <si>
    <t>Alternative intersections - Continuous Green T</t>
  </si>
  <si>
    <t>Alternative intersections - Signalized RCUT</t>
  </si>
  <si>
    <t>Alternative intersections -  MUT</t>
  </si>
  <si>
    <t>Convert intersection to Median U Turn (MUT)</t>
  </si>
  <si>
    <t>Ditch/embankment/side slope Improvements (including slope flattening)</t>
  </si>
  <si>
    <t>Abbreviation</t>
  </si>
  <si>
    <t>SM</t>
  </si>
  <si>
    <t>RD</t>
  </si>
  <si>
    <t>BP</t>
  </si>
  <si>
    <t>IN</t>
  </si>
  <si>
    <t>CR</t>
  </si>
  <si>
    <t>Cost</t>
  </si>
  <si>
    <t>Center median</t>
  </si>
  <si>
    <t>CMF 21</t>
  </si>
  <si>
    <t>Add chevron signs</t>
  </si>
  <si>
    <t>Chevrons</t>
  </si>
  <si>
    <t>Non-intersection</t>
  </si>
  <si>
    <t>CMF 2439</t>
  </si>
  <si>
    <t>Widen edgeline from 4 inch to 6 inch wide</t>
  </si>
  <si>
    <t>CMF 4737</t>
  </si>
  <si>
    <t>Install sequential dynamic chevrons</t>
  </si>
  <si>
    <t>CMF 10361</t>
  </si>
  <si>
    <t>Install edgeline or shoulder rumble strips</t>
  </si>
  <si>
    <t>Rural 2 lane roads</t>
  </si>
  <si>
    <t>CMF 10449</t>
  </si>
  <si>
    <t>Install centerline rumble strip</t>
  </si>
  <si>
    <t>CMF 10448</t>
  </si>
  <si>
    <t>Install New Fluorescent Curve Signs Or Upgrade Existing Curve Signs To Fluorescent Sheeting</t>
  </si>
  <si>
    <t>CMF 2434</t>
  </si>
  <si>
    <t>Oversized chevron signs</t>
  </si>
  <si>
    <t>Convert intersection to roundabout</t>
  </si>
  <si>
    <t>CMF 4870</t>
  </si>
  <si>
    <t>Absence of access points</t>
  </si>
  <si>
    <t>Urban areas</t>
  </si>
  <si>
    <t>CMF 3097</t>
  </si>
  <si>
    <t>$</t>
  </si>
  <si>
    <t>$$</t>
  </si>
  <si>
    <t>$$$</t>
  </si>
  <si>
    <t>$$$$</t>
  </si>
  <si>
    <t>$$$$$</t>
  </si>
  <si>
    <t>Big Book cost</t>
  </si>
  <si>
    <t xml:space="preserve">High </t>
  </si>
  <si>
    <t>CMF 4916</t>
  </si>
  <si>
    <t>MnDOT reported that it is not cost effective when it trialed them</t>
  </si>
  <si>
    <t>CMF 8878</t>
  </si>
  <si>
    <t>Implement systemic signing and marking improvements at stop-controlled intersections</t>
  </si>
  <si>
    <t>Doubled-up (left and right), oversized advance ”Stop Ahead“ intersection warning signs (can also include flashing beacon).
Doubled-up (left and right), oversized Stop signs.
Retroreflective sheeting on sign posts.
Properly placed stop bar.
Removal of vegetation, parking, or obstructions that limit sight distance.
Double arrow warning sign at stem of T-intersections.</t>
  </si>
  <si>
    <t>Implement systemic signing and visibility improvements at signalized intersections</t>
  </si>
  <si>
    <t>Rear end Crashes</t>
  </si>
  <si>
    <t>CMF 8929</t>
  </si>
  <si>
    <t>Add retroreflective sheeting to signal backplates</t>
  </si>
  <si>
    <t>CMF 1410</t>
  </si>
  <si>
    <t>CMF 4175</t>
  </si>
  <si>
    <t>Changing left turn phasing from at least one permissive approach to flashing yellow arrow (FYA)</t>
  </si>
  <si>
    <t>Left Turn Crashes</t>
  </si>
  <si>
    <t>Left turn calming / Hardened Centerlines</t>
  </si>
  <si>
    <t>Convert from two-way stop to all-way stop</t>
  </si>
  <si>
    <t>Change from protected-permissive to protected-only left turn phasing</t>
  </si>
  <si>
    <t>CMF 11162</t>
  </si>
  <si>
    <t>CMF 325</t>
  </si>
  <si>
    <t>Install dynamic signal warning flashers</t>
  </si>
  <si>
    <t>CMF 4199</t>
  </si>
  <si>
    <t>Install Advanced Dilemma Zone Detection</t>
  </si>
  <si>
    <t>High speed intersections</t>
  </si>
  <si>
    <t>CMF 4854</t>
  </si>
  <si>
    <t>Install adaptive traffic signal control</t>
  </si>
  <si>
    <t>CMF 11238</t>
  </si>
  <si>
    <t>NCHRP 926</t>
  </si>
  <si>
    <t>NCHRP 1033</t>
  </si>
  <si>
    <t>Applies to Key Finding in Equity Areas</t>
  </si>
  <si>
    <t>Tried</t>
  </si>
  <si>
    <t>CMF 8183</t>
  </si>
  <si>
    <t>Documented</t>
  </si>
  <si>
    <t>rural, non-intersection</t>
  </si>
  <si>
    <t>night, non-intersection</t>
  </si>
  <si>
    <t>rural areas</t>
  </si>
  <si>
    <t>CMF 3127</t>
  </si>
  <si>
    <t>Curb extensions</t>
  </si>
  <si>
    <t>Curb extensions / Curb Bump-Outs</t>
  </si>
  <si>
    <t>NHTSA Countermeasures that Work</t>
  </si>
  <si>
    <t>Implementation Timeline</t>
  </si>
  <si>
    <t>Safe System Category</t>
  </si>
  <si>
    <t>Post-Crash Care</t>
  </si>
  <si>
    <t>SSH Category</t>
  </si>
  <si>
    <t>Safer People</t>
  </si>
  <si>
    <t>Safer Vehicles</t>
  </si>
  <si>
    <t>Safer Speeds</t>
  </si>
  <si>
    <t>Safer Roads</t>
  </si>
  <si>
    <t>Promote Bicycle Helmet Use with Education</t>
  </si>
  <si>
    <t>Safe Routes to School</t>
  </si>
  <si>
    <t>NHTSA Effectiveness</t>
  </si>
  <si>
    <t>NHTSA Cost</t>
  </si>
  <si>
    <t>High Visibility Enforcement</t>
  </si>
  <si>
    <t>Intelligent Speed Assistance</t>
  </si>
  <si>
    <t>Add chicanes (horizontal deflection) to calm traffic</t>
  </si>
  <si>
    <t>Safety edge (rural roadways)</t>
  </si>
  <si>
    <t>Roadway reconfiguration or lane reduction</t>
  </si>
  <si>
    <t>Widen shoulders (to 5 feet or wider)</t>
  </si>
  <si>
    <t>Implementation Timeline (yr)</t>
  </si>
  <si>
    <t>Estimated Implementation Timeline</t>
  </si>
  <si>
    <t>Additional Notes or Context</t>
  </si>
  <si>
    <t>Speed safety cameras not authorized in state law as of December 2024 except for pilot communities of Minneapolis and Mendota Heights.</t>
  </si>
  <si>
    <t>Traffic calming countermeasures should be installed consistent with local policy, individual countermeasures, and engineering judgment. Vertical deflection for arterials and major collectors does not yet have an applicable CMF and is under further study. Jurisdictions can consider pilot installations if desired on locally-maintained streets.</t>
  </si>
  <si>
    <t>Toolbox of Pedestrian Countermeasures</t>
  </si>
  <si>
    <t xml:space="preserve">Parking restriction on crosswalk approach </t>
  </si>
  <si>
    <t>FHWA</t>
  </si>
  <si>
    <t>Pedestrian Hybrid Beacon (PHB)</t>
  </si>
  <si>
    <t>Rapid Rectangular Flashing Beacon (RRFB)</t>
  </si>
  <si>
    <t>Install pedestrian hybrid beacon (PHB or HAWK) with advanced yield or stop markings and signs</t>
  </si>
  <si>
    <t>CMF 9021</t>
  </si>
  <si>
    <t>Install rectangular rapid flashing beacon (RRFB)</t>
  </si>
  <si>
    <t>CMF 11168</t>
  </si>
  <si>
    <t>Resource:
Federal (FHWA)</t>
  </si>
  <si>
    <t>Effectiveness</t>
  </si>
  <si>
    <t>Safe System Roadway Design Hierarchy Tier 1 - Remove Severe Conflicts</t>
  </si>
  <si>
    <t>Safe System Roadway Design Hierarchy Tier 2 - Reduce Vehicle Speeds</t>
  </si>
  <si>
    <t>Safe System Roadway Design Hierarchy Tier 3 - Manage Conflicts in Time</t>
  </si>
  <si>
    <t>Safe System Roadway Design Hierarchy Tier 4 - Increase Attentiveness &amp; Awareness</t>
  </si>
  <si>
    <t>Resource: CMF</t>
  </si>
  <si>
    <t>Resource: Federal (NHTSA)</t>
  </si>
  <si>
    <t>Resource: Minnesota</t>
  </si>
  <si>
    <t>Resource: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</si>
</sst>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0"/>
      <color theme="1"/>
      <name val="Roboto"/>
    </font>
    <font>
      <sz val="10"/>
      <color theme="1"/>
      <name val="Arial"/>
      <family val="2"/>
    </font>
    <font>
      <b/>
      <sz val="10"/>
      <name val="Arial"/>
      <family val="2"/>
    </font>
    <font>
      <sz val="11"/>
      <color theme="1"/>
      <name val="Calibri"/>
      <family val="2"/>
      <scheme val="minor"/>
    </font>
    <font>
      <sz val="10"/>
      <color rgb="FF000000"/>
      <name val="Arial"/>
      <family val="2"/>
    </font>
    <font>
      <sz val="11"/>
      <color theme="1"/>
      <name val="Arial"/>
      <family val="2"/>
    </font>
    <font>
      <sz val="10"/>
      <name val="Arial"/>
      <family val="2"/>
    </font>
    <font>
      <b/>
      <sz val="10"/>
      <color rgb="FFFFFFFF"/>
      <name val="Arial"/>
      <family val="2"/>
    </font>
    <font>
      <b/>
      <i/>
      <sz val="10"/>
      <color rgb="FFFFFFFF"/>
      <name val="Arial"/>
      <family val="2"/>
    </font>
    <font>
      <sz val="10"/>
      <color theme="1"/>
      <name val="Calibri"/>
      <family val="2"/>
      <scheme val="minor"/>
    </font>
    <font>
      <sz val="8"/>
      <name val="Calibri"/>
      <family val="2"/>
      <scheme val="minor"/>
    </font>
    <font>
      <b/>
      <sz val="10"/>
      <color theme="1"/>
      <name val="Arial"/>
      <family val="2"/>
    </font>
    <font>
      <b/>
      <sz val="11"/>
      <color rgb="FFFFFFFF"/>
      <name val="Arial"/>
      <family val="2"/>
    </font>
    <font>
      <b/>
      <sz val="11"/>
      <color theme="1"/>
      <name val="Arial"/>
      <family val="2"/>
    </font>
    <font>
      <sz val="11"/>
      <color rgb="FF753800"/>
      <name val="Arial"/>
      <family val="2"/>
    </font>
    <font>
      <b/>
      <sz val="10"/>
      <color theme="0"/>
      <name val="Arial"/>
      <family val="2"/>
    </font>
    <font>
      <sz val="11"/>
      <name val="Arial"/>
      <family val="2"/>
    </font>
    <font>
      <sz val="10"/>
      <color rgb="FF000000"/>
      <name val="Times New Roman"/>
      <family val="1"/>
    </font>
    <font>
      <sz val="11"/>
      <color theme="0"/>
      <name val="Arial"/>
      <family val="2"/>
    </font>
  </fonts>
  <fills count="19">
    <fill>
      <patternFill patternType="none"/>
    </fill>
    <fill>
      <patternFill patternType="gray125"/>
    </fill>
    <fill>
      <patternFill patternType="solid">
        <fgColor rgb="FF009790"/>
        <bgColor indexed="64"/>
      </patternFill>
    </fill>
    <fill>
      <patternFill patternType="solid">
        <fgColor rgb="FFEFEFEF"/>
        <bgColor indexed="64"/>
      </patternFill>
    </fill>
    <fill>
      <patternFill patternType="solid">
        <fgColor rgb="FFFFFFFF"/>
        <bgColor indexed="64"/>
      </patternFill>
    </fill>
    <fill>
      <patternFill patternType="solid">
        <fgColor theme="5"/>
        <bgColor indexed="64"/>
      </patternFill>
    </fill>
    <fill>
      <patternFill patternType="solid">
        <fgColor theme="3"/>
        <bgColor indexed="64"/>
      </patternFill>
    </fill>
    <fill>
      <patternFill patternType="solid">
        <fgColor theme="4" tint="0.79998168889431442"/>
        <bgColor theme="4" tint="0.79998168889431442"/>
      </patternFill>
    </fill>
    <fill>
      <patternFill patternType="solid">
        <fgColor rgb="FF7030A0"/>
        <bgColor indexed="64"/>
      </patternFill>
    </fill>
    <fill>
      <patternFill patternType="solid">
        <fgColor theme="9"/>
        <bgColor indexed="64"/>
      </patternFill>
    </fill>
    <fill>
      <patternFill patternType="solid">
        <fgColor theme="9" tint="-0.249977111117893"/>
        <bgColor indexed="64"/>
      </patternFill>
    </fill>
    <fill>
      <patternFill patternType="solid">
        <fgColor theme="4"/>
        <bgColor indexed="64"/>
      </patternFill>
    </fill>
    <fill>
      <patternFill patternType="solid">
        <fgColor rgb="FFC00000"/>
        <bgColor indexed="64"/>
      </patternFill>
    </fill>
    <fill>
      <patternFill patternType="solid">
        <fgColor rgb="FF3A1953"/>
        <bgColor indexed="64"/>
      </patternFill>
    </fill>
    <fill>
      <patternFill patternType="solid">
        <fgColor theme="4" tint="-0.249977111117893"/>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1F4E78"/>
        <bgColor indexed="64"/>
      </patternFill>
    </fill>
  </fills>
  <borders count="12">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style="medium">
        <color rgb="FFCCCCCC"/>
      </left>
      <right style="medium">
        <color rgb="FFCCCCCC"/>
      </right>
      <top/>
      <bottom/>
      <diagonal/>
    </border>
    <border>
      <left style="medium">
        <color rgb="FFCCCCCC"/>
      </left>
      <right style="medium">
        <color rgb="FFCCCCCC"/>
      </right>
      <top style="thin">
        <color theme="4" tint="0.39997558519241921"/>
      </top>
      <bottom style="medium">
        <color rgb="FFCCCCCC"/>
      </bottom>
      <diagonal/>
    </border>
    <border>
      <left style="thin">
        <color theme="4" tint="0.39997558519241921"/>
      </left>
      <right/>
      <top style="thin">
        <color theme="4" tint="0.39997558519241921"/>
      </top>
      <bottom style="thin">
        <color theme="4" tint="0.39997558519241921"/>
      </bottom>
      <diagonal/>
    </border>
    <border>
      <left style="medium">
        <color rgb="FFCCCCCC"/>
      </left>
      <right style="thin">
        <color rgb="FFCCCCCC"/>
      </right>
      <top style="medium">
        <color rgb="FFCCCCCC"/>
      </top>
      <bottom style="thin">
        <color rgb="FFCCCCCC"/>
      </bottom>
      <diagonal/>
    </border>
    <border>
      <left style="thin">
        <color rgb="FFCCCCCC"/>
      </left>
      <right style="thin">
        <color rgb="FFCCCCCC"/>
      </right>
      <top style="medium">
        <color rgb="FFCCCCCC"/>
      </top>
      <bottom style="thin">
        <color rgb="FFCCCCCC"/>
      </bottom>
      <diagonal/>
    </border>
    <border>
      <left style="thin">
        <color theme="7"/>
      </left>
      <right style="thin">
        <color theme="7"/>
      </right>
      <top style="thin">
        <color theme="7"/>
      </top>
      <bottom style="thin">
        <color theme="7"/>
      </bottom>
      <diagonal/>
    </border>
    <border>
      <left style="thin">
        <color theme="7"/>
      </left>
      <right style="thin">
        <color theme="7"/>
      </right>
      <top style="thin">
        <color theme="7"/>
      </top>
      <bottom/>
      <diagonal/>
    </border>
    <border>
      <left style="thin">
        <color theme="4" tint="0.39997558519241921"/>
      </left>
      <right/>
      <top/>
      <bottom/>
      <diagonal/>
    </border>
  </borders>
  <cellStyleXfs count="3">
    <xf numFmtId="0" fontId="0" fillId="0" borderId="0"/>
    <xf numFmtId="9" fontId="4" fillId="0" borderId="0" applyFont="0" applyFill="0" applyBorder="0" applyAlignment="0" applyProtection="0"/>
    <xf numFmtId="0" fontId="18" fillId="0" borderId="0"/>
  </cellStyleXfs>
  <cellXfs count="63">
    <xf numFmtId="0" fontId="0" fillId="0" borderId="0" xfId="0"/>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vertical="center"/>
    </xf>
    <xf numFmtId="0" fontId="6" fillId="0" borderId="0" xfId="0" applyFont="1" applyAlignment="1">
      <alignment horizontal="center"/>
    </xf>
    <xf numFmtId="0" fontId="8" fillId="2" borderId="3" xfId="0" applyFont="1" applyFill="1" applyBorder="1" applyAlignment="1">
      <alignment horizontal="center" vertical="center" wrapText="1"/>
    </xf>
    <xf numFmtId="0" fontId="2" fillId="0" borderId="0" xfId="0" applyFont="1"/>
    <xf numFmtId="0" fontId="8" fillId="2" borderId="4"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8" fillId="6" borderId="3" xfId="0" applyFont="1" applyFill="1" applyBorder="1" applyAlignment="1">
      <alignment horizontal="right" vertical="center" wrapText="1"/>
    </xf>
    <xf numFmtId="0" fontId="5" fillId="0" borderId="0" xfId="0" applyFont="1" applyAlignment="1">
      <alignment horizontal="right" vertical="center" wrapText="1"/>
    </xf>
    <xf numFmtId="0" fontId="0" fillId="0" borderId="0" xfId="0" applyAlignment="1">
      <alignment horizontal="right" wrapText="1"/>
    </xf>
    <xf numFmtId="0" fontId="2" fillId="0" borderId="0" xfId="0" applyFont="1" applyAlignment="1">
      <alignment horizontal="center" vertical="center"/>
    </xf>
    <xf numFmtId="0" fontId="0" fillId="0" borderId="0" xfId="0" applyAlignment="1">
      <alignment horizontal="center" vertical="center"/>
    </xf>
    <xf numFmtId="0" fontId="5" fillId="7" borderId="6" xfId="0" applyFont="1" applyFill="1" applyBorder="1" applyAlignment="1">
      <alignment horizontal="right" vertical="center" wrapText="1"/>
    </xf>
    <xf numFmtId="0" fontId="5" fillId="0" borderId="6" xfId="0" applyFont="1" applyBorder="1" applyAlignment="1">
      <alignment horizontal="right" vertical="center" wrapText="1"/>
    </xf>
    <xf numFmtId="0" fontId="7" fillId="0" borderId="6" xfId="0" applyFont="1" applyBorder="1" applyAlignment="1">
      <alignment horizontal="right" vertical="center" wrapText="1"/>
    </xf>
    <xf numFmtId="0" fontId="8" fillId="6" borderId="5" xfId="0" applyFont="1" applyFill="1" applyBorder="1" applyAlignment="1">
      <alignment horizontal="right" vertical="center" wrapText="1"/>
    </xf>
    <xf numFmtId="0" fontId="8" fillId="2"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2" fillId="0" borderId="0" xfId="0" applyFont="1" applyAlignment="1">
      <alignment wrapText="1"/>
    </xf>
    <xf numFmtId="0" fontId="1" fillId="4" borderId="1" xfId="0"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9" fontId="2" fillId="0" borderId="0" xfId="1" applyFont="1" applyAlignment="1">
      <alignment vertical="center"/>
    </xf>
    <xf numFmtId="0" fontId="2" fillId="0" borderId="0" xfId="0" applyFont="1" applyAlignment="1">
      <alignment horizontal="left" vertical="center" wrapText="1"/>
    </xf>
    <xf numFmtId="0" fontId="0" fillId="0" borderId="0" xfId="0" applyAlignment="1">
      <alignment vertical="center" wrapText="1"/>
    </xf>
    <xf numFmtId="0" fontId="10" fillId="0" borderId="0" xfId="0" applyFont="1" applyAlignment="1">
      <alignment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4" fillId="3" borderId="2" xfId="0" applyFont="1" applyFill="1" applyBorder="1" applyAlignment="1">
      <alignment vertical="center" wrapText="1"/>
    </xf>
    <xf numFmtId="0" fontId="14" fillId="4" borderId="1" xfId="0" applyFont="1" applyFill="1" applyBorder="1" applyAlignment="1">
      <alignment vertical="center" wrapText="1"/>
    </xf>
    <xf numFmtId="0" fontId="14" fillId="4" borderId="1" xfId="0" applyFont="1" applyFill="1" applyBorder="1" applyAlignment="1">
      <alignment vertical="top" wrapText="1"/>
    </xf>
    <xf numFmtId="0" fontId="1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5" borderId="4" xfId="0" applyFont="1" applyFill="1" applyBorder="1" applyAlignment="1">
      <alignment horizontal="center" vertical="center" wrapText="1"/>
    </xf>
    <xf numFmtId="0" fontId="2" fillId="0" borderId="9" xfId="0" applyFont="1" applyBorder="1" applyAlignment="1">
      <alignment horizontal="center" vertical="center"/>
    </xf>
    <xf numFmtId="0" fontId="5" fillId="0" borderId="9" xfId="0" applyFont="1" applyBorder="1" applyAlignment="1">
      <alignment horizontal="center" vertical="center"/>
    </xf>
    <xf numFmtId="0" fontId="8" fillId="8" borderId="3" xfId="0" applyFont="1" applyFill="1" applyBorder="1" applyAlignment="1">
      <alignment horizontal="center" vertical="center" wrapText="1"/>
    </xf>
    <xf numFmtId="0" fontId="8" fillId="14" borderId="4"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2" fillId="0" borderId="10" xfId="0" applyFont="1" applyBorder="1" applyAlignment="1">
      <alignment horizontal="center" vertical="center"/>
    </xf>
    <xf numFmtId="0" fontId="5" fillId="0" borderId="0" xfId="0" applyFont="1" applyAlignment="1">
      <alignment horizontal="center" vertical="center"/>
    </xf>
    <xf numFmtId="0" fontId="8" fillId="8" borderId="4" xfId="0" applyFont="1" applyFill="1" applyBorder="1" applyAlignment="1">
      <alignment horizontal="center" vertical="center" wrapText="1"/>
    </xf>
    <xf numFmtId="0" fontId="5" fillId="7" borderId="11" xfId="0" applyFont="1" applyFill="1" applyBorder="1" applyAlignment="1">
      <alignment horizontal="right" vertical="center" wrapText="1"/>
    </xf>
    <xf numFmtId="0" fontId="0" fillId="0" borderId="0" xfId="0" applyAlignment="1">
      <alignment horizontal="right"/>
    </xf>
    <xf numFmtId="0" fontId="17" fillId="0" borderId="1" xfId="0" applyFont="1" applyBorder="1" applyAlignment="1">
      <alignment horizontal="center" vertical="center" wrapText="1"/>
    </xf>
    <xf numFmtId="0" fontId="5" fillId="7" borderId="0" xfId="0" applyFont="1" applyFill="1" applyAlignment="1">
      <alignment horizontal="right" vertical="center" wrapText="1"/>
    </xf>
    <xf numFmtId="0" fontId="10" fillId="16" borderId="0" xfId="0" applyFont="1" applyFill="1" applyAlignment="1">
      <alignment wrapText="1"/>
    </xf>
    <xf numFmtId="0" fontId="13" fillId="2" borderId="3"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19" fillId="15" borderId="0" xfId="0" applyFont="1" applyFill="1" applyAlignment="1">
      <alignment wrapText="1"/>
    </xf>
    <xf numFmtId="0" fontId="13" fillId="2" borderId="3" xfId="0" applyFont="1" applyFill="1" applyBorder="1" applyAlignment="1">
      <alignment vertical="center" wrapText="1"/>
    </xf>
    <xf numFmtId="0" fontId="13" fillId="13" borderId="3" xfId="0" applyFont="1" applyFill="1" applyBorder="1" applyAlignment="1">
      <alignment vertical="center" wrapText="1"/>
    </xf>
    <xf numFmtId="0" fontId="13" fillId="17" borderId="3" xfId="0" applyFont="1" applyFill="1" applyBorder="1" applyAlignment="1">
      <alignment vertical="center" wrapText="1"/>
    </xf>
    <xf numFmtId="0" fontId="16" fillId="0" borderId="1" xfId="0" applyFont="1" applyBorder="1" applyAlignment="1">
      <alignment horizontal="center" vertical="center" wrapText="1"/>
    </xf>
  </cellXfs>
  <cellStyles count="3">
    <cellStyle name="Normal" xfId="0" builtinId="0"/>
    <cellStyle name="Normal 2" xfId="2" xr:uid="{1B1B5D83-026F-466F-A301-38F71E86E120}"/>
    <cellStyle name="Percent" xfId="1" builtinId="5"/>
  </cellStyles>
  <dxfs count="37">
    <dxf>
      <font>
        <b val="0"/>
        <i val="0"/>
        <strike val="0"/>
        <color theme="0"/>
      </font>
      <fill>
        <patternFill>
          <bgColor rgb="FF820000"/>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4" tint="-0.499984740745262"/>
        </patternFill>
      </fill>
    </dxf>
    <dxf>
      <font>
        <b val="0"/>
        <i val="0"/>
        <strike val="0"/>
        <color theme="0"/>
      </font>
      <fill>
        <patternFill>
          <bgColor theme="4" tint="-0.24994659260841701"/>
        </patternFill>
      </fill>
    </dxf>
    <dxf>
      <font>
        <color theme="0"/>
      </font>
      <fill>
        <patternFill>
          <bgColor theme="9" tint="-0.24994659260841701"/>
        </patternFill>
      </fill>
    </dxf>
    <dxf>
      <font>
        <color theme="0"/>
      </font>
      <fill>
        <patternFill>
          <bgColor theme="4" tint="-0.499984740745262"/>
        </patternFill>
      </fill>
    </dxf>
    <dxf>
      <font>
        <b val="0"/>
        <i val="0"/>
        <strike val="0"/>
        <color theme="0"/>
      </font>
      <fill>
        <patternFill>
          <bgColor rgb="FF920000"/>
        </patternFill>
      </fill>
    </dxf>
    <dxf>
      <font>
        <b val="0"/>
        <i val="0"/>
        <strike val="0"/>
        <color theme="2" tint="-0.24994659260841701"/>
      </font>
      <fill>
        <patternFill>
          <bgColor theme="0" tint="-4.9989318521683403E-2"/>
        </patternFill>
      </fill>
      <border>
        <top/>
      </border>
    </dxf>
    <dxf>
      <font>
        <b/>
        <i val="0"/>
        <strike val="0"/>
        <u val="none"/>
        <color theme="0"/>
      </font>
      <fill>
        <patternFill>
          <bgColor theme="2" tint="-0.499984740745262"/>
        </patternFill>
      </fill>
      <border>
        <top style="thin">
          <color theme="2" tint="-0.499984740745262"/>
        </top>
      </border>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font>
        <b val="0"/>
        <i val="0"/>
        <strike val="0"/>
        <condense val="0"/>
        <extend val="0"/>
        <outline val="0"/>
        <shadow val="0"/>
        <u val="none"/>
        <vertAlign val="baseline"/>
        <sz val="10"/>
        <color theme="1"/>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alignment horizontal="center" vertical="center" textRotation="0" indent="0" justifyLastLine="0" shrinkToFit="0" readingOrder="0"/>
    </dxf>
    <dxf>
      <font>
        <b val="0"/>
        <i val="0"/>
        <strike val="0"/>
        <condense val="0"/>
        <extend val="0"/>
        <outline val="0"/>
        <shadow val="0"/>
        <u val="none"/>
        <vertAlign val="baseline"/>
        <sz val="10"/>
        <color rgb="FF000000"/>
        <name val="Arial"/>
        <family val="2"/>
        <scheme val="none"/>
      </font>
      <alignment horizontal="right" vertical="center" textRotation="0" wrapText="1" indent="0" justifyLastLine="0" shrinkToFit="0" readingOrder="0"/>
    </dxf>
    <dxf>
      <alignment vertical="center" textRotation="0" indent="0" justifyLastLine="0" shrinkToFit="0" readingOrder="0"/>
    </dxf>
    <dxf>
      <font>
        <b/>
        <i val="0"/>
        <strike val="0"/>
        <condense val="0"/>
        <extend val="0"/>
        <outline val="0"/>
        <shadow val="0"/>
        <u val="none"/>
        <vertAlign val="baseline"/>
        <sz val="10"/>
        <color rgb="FFFFFFFF"/>
        <name val="Arial"/>
        <family val="2"/>
        <scheme val="none"/>
      </font>
      <fill>
        <patternFill patternType="solid">
          <fgColor indexed="64"/>
          <bgColor theme="8"/>
        </patternFill>
      </fill>
      <alignment horizontal="center" vertical="center"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colors>
    <mruColors>
      <color rgb="FF3A1953"/>
      <color rgb="FF1F4E78"/>
      <color rgb="FF820000"/>
      <color rgb="FF920000"/>
      <color rgb="FF009790"/>
      <color rgb="FF005C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20D72C-6EF2-4EB5-BD74-0FB7FC2992A3}" name="Table1" displayName="Table1" ref="A1:X77" totalsRowShown="0" headerRowDxfId="36" dataDxfId="35">
  <autoFilter ref="A1:X77" xr:uid="{E920D72C-6EF2-4EB5-BD74-0FB7FC2992A3}"/>
  <sortState xmlns:xlrd2="http://schemas.microsoft.com/office/spreadsheetml/2017/richdata2" ref="A2:X77">
    <sortCondition ref="F2:F77"/>
    <sortCondition ref="B2:B77"/>
    <sortCondition ref="C2:C77"/>
    <sortCondition ref="D2:D77"/>
    <sortCondition ref="E2:E77"/>
  </sortState>
  <tableColumns count="24">
    <tableColumn id="1" xr3:uid="{B228260C-FD9C-4CD2-A0AA-60C42278A4A0}" name="Countermeasure" dataDxfId="34"/>
    <tableColumn id="2" xr3:uid="{4B09A8D5-6596-45EE-ABF9-409237840981}" name="Remove Severe Conflicts" dataDxfId="33"/>
    <tableColumn id="3" xr3:uid="{98A85A63-B909-4CDA-8DB3-7531293EC7FA}" name="Reduce Vehicle Speeds" dataDxfId="32"/>
    <tableColumn id="4" xr3:uid="{039AA953-CA4D-40EE-8AA5-868790C9DCA2}" name="Manage Conflicts in Time" dataDxfId="31"/>
    <tableColumn id="5" xr3:uid="{8D9F7EA0-AD86-47BE-829B-AC0F9F4CB23A}" name="Increase Attentiveness &amp; Awareness" dataDxfId="30"/>
    <tableColumn id="21" xr3:uid="{BC6C7452-73F0-46CD-9B31-0403DB8F7327}" name="FHWA helper" dataDxfId="29">
      <calculatedColumnFormula>_xlfn.XLOOKUP(Table1[[#This Row],[Category (FHWA)]],'Data Validation'!$A$2:$A$6,'Data Validation'!$B$2:$B$6)</calculatedColumnFormula>
    </tableColumn>
    <tableColumn id="6" xr3:uid="{93E487EB-FB76-4461-939A-EE64402E70CF}" name="Category (FHWA)" dataDxfId="28"/>
    <tableColumn id="24" xr3:uid="{4A921B2A-6111-45AE-B0BC-3BAC7BCDD4D2}" name="Safe System Category" dataDxfId="27"/>
    <tableColumn id="7" xr3:uid="{91CA7945-D1D0-43A8-85D3-32AE9877CE2E}" name="Proven Safety Countermeasure" dataDxfId="26"/>
    <tableColumn id="23" xr3:uid="{74CD221E-D642-431A-B16A-671CEE13637F}" name="NHTSA Countermeasures that Work" dataDxfId="25"/>
    <tableColumn id="8" xr3:uid="{6F7F1F6C-F5CF-43A7-A3A3-C1BBE7B57836}" name="MnDOT District Roadway Safety &quot;Big Book of Ideas&quot;" dataDxfId="24"/>
    <tableColumn id="20" xr3:uid="{CFEF603F-867E-4C0A-A948-C2605EB86DDD}" name="NCHRP 926" dataDxfId="23"/>
    <tableColumn id="22" xr3:uid="{FBE095C8-2565-48A9-9DF3-293AAD33F5BB}" name="NCHRP 1033" dataDxfId="22"/>
    <tableColumn id="9" xr3:uid="{1C606E1A-E51E-4E81-BD55-5BBFFCDBDD20}" name="Bike Crashes, intersection turning conflicts" dataDxfId="21"/>
    <tableColumn id="10" xr3:uid="{DBDC4FEB-3F59-4C32-9FDF-9E0936F19456}" name="Signalized Intersection KSI (equity)" dataDxfId="20"/>
    <tableColumn id="17" xr3:uid="{061D0E08-9E5F-4370-8DC5-99C0FD7596FB}" name="Midblock KSI" dataDxfId="19"/>
    <tableColumn id="11" xr3:uid="{A7CC7D74-BC02-453C-BAB3-115FBD2B974E}" name="Suburban 3-4 lane, Intersection" dataDxfId="18"/>
    <tableColumn id="12" xr3:uid="{FB6AEEAF-3C8D-454B-B4D1-694F4CF87B15}" name="Bike Crashes, No facility, midblock (equity)" dataDxfId="17"/>
    <tableColumn id="18" xr3:uid="{8D4C6D4B-88CA-4067-9C17-B989DC6ECD0A}" name="Bike Crashes, Intersection, with Facility" dataDxfId="16"/>
    <tableColumn id="13" xr3:uid="{A8D9B9CA-B143-4415-9CC9-8A5B49D67FAB}" name="Commercial Areas, Urban" dataDxfId="15"/>
    <tableColumn id="14" xr3:uid="{D05118A7-BC6D-44F2-88F8-9445C50A3D6F}" name="Local Intersection, Injury (equity)" dataDxfId="14"/>
    <tableColumn id="15" xr3:uid="{5D5629ED-ECA8-4567-8AF2-AB0C4D80AF6A}" name="Posted Speed &lt;= 35 mph, intersection" dataDxfId="13"/>
    <tableColumn id="19" xr3:uid="{0F31559C-69CF-49DE-8D29-7135D66E53B4}" name="Posted Speed 40+ mph (equity)" dataDxfId="12"/>
    <tableColumn id="16" xr3:uid="{9FE8AFE7-FD7F-4187-A55D-49D0B6A8D46A}" name="Speeding related vehicle crashes" dataDxfId="1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0F496-9115-4364-A29C-7CA1A55017D9}">
  <dimension ref="A1:AD66"/>
  <sheetViews>
    <sheetView tabSelected="1" zoomScale="70" zoomScaleNormal="70" workbookViewId="0">
      <pane ySplit="1" topLeftCell="A2" activePane="bottomLeft" state="frozen"/>
      <selection pane="bottomLeft" activeCell="C10" sqref="C10"/>
    </sheetView>
  </sheetViews>
  <sheetFormatPr defaultColWidth="20.54296875" defaultRowHeight="14.5" x14ac:dyDescent="0.35"/>
  <cols>
    <col min="1" max="1" width="21.81640625" customWidth="1"/>
    <col min="2" max="2" width="9.1796875" customWidth="1"/>
    <col min="3" max="3" width="67" style="3" customWidth="1"/>
    <col min="4" max="4" width="31.54296875" hidden="1" customWidth="1"/>
    <col min="5" max="6" width="17.1796875" customWidth="1"/>
    <col min="7" max="8" width="15.453125" customWidth="1"/>
    <col min="9" max="9" width="12.54296875" bestFit="1" customWidth="1"/>
    <col min="10" max="10" width="12.54296875" customWidth="1"/>
    <col min="11" max="11" width="12.1796875" customWidth="1"/>
    <col min="12" max="12" width="13" customWidth="1"/>
    <col min="13" max="13" width="17" customWidth="1"/>
    <col min="14" max="14" width="10.54296875" bestFit="1" customWidth="1"/>
    <col min="15" max="15" width="15.7265625" style="9" bestFit="1" customWidth="1"/>
    <col min="16" max="16" width="15.7265625" style="9" customWidth="1"/>
    <col min="17" max="17" width="22.26953125" style="9" bestFit="1" customWidth="1"/>
    <col min="18" max="18" width="11" bestFit="1" customWidth="1"/>
    <col min="19" max="19" width="18.1796875" customWidth="1"/>
    <col min="20" max="20" width="13.453125" customWidth="1"/>
    <col min="21" max="21" width="10.26953125" bestFit="1" customWidth="1"/>
    <col min="22" max="22" width="14.26953125" bestFit="1" customWidth="1"/>
    <col min="23" max="23" width="18.81640625" bestFit="1" customWidth="1"/>
    <col min="24" max="24" width="15.7265625" customWidth="1"/>
    <col min="25" max="25" width="13.81640625" bestFit="1" customWidth="1"/>
    <col min="26" max="28" width="15.7265625" customWidth="1"/>
    <col min="29" max="29" width="16.1796875" bestFit="1" customWidth="1"/>
    <col min="30" max="30" width="38.54296875" customWidth="1"/>
  </cols>
  <sheetData>
    <row r="1" spans="1:30" s="6" customFormat="1" ht="104.5" thickBot="1" x14ac:dyDescent="0.35">
      <c r="A1" s="59" t="s">
        <v>0</v>
      </c>
      <c r="B1" s="59" t="s">
        <v>1</v>
      </c>
      <c r="C1" s="59" t="s">
        <v>4</v>
      </c>
      <c r="D1" s="53"/>
      <c r="E1" s="59" t="s">
        <v>13</v>
      </c>
      <c r="F1" s="59" t="s">
        <v>279</v>
      </c>
      <c r="G1" s="59" t="s">
        <v>293</v>
      </c>
      <c r="H1" s="60" t="s">
        <v>261</v>
      </c>
      <c r="I1" s="57" t="s">
        <v>294</v>
      </c>
      <c r="J1" s="57" t="s">
        <v>295</v>
      </c>
      <c r="K1" s="57" t="s">
        <v>296</v>
      </c>
      <c r="L1" s="57" t="s">
        <v>297</v>
      </c>
      <c r="M1" s="61" t="s">
        <v>249</v>
      </c>
      <c r="N1" s="56" t="s">
        <v>298</v>
      </c>
      <c r="O1" s="56" t="s">
        <v>292</v>
      </c>
      <c r="P1" s="56" t="s">
        <v>299</v>
      </c>
      <c r="Q1" s="56" t="s">
        <v>300</v>
      </c>
      <c r="R1" s="56" t="s">
        <v>301</v>
      </c>
      <c r="S1" s="54" t="s">
        <v>66</v>
      </c>
      <c r="T1" s="55" t="s">
        <v>61</v>
      </c>
      <c r="U1" s="54" t="s">
        <v>58</v>
      </c>
      <c r="V1" s="54" t="s">
        <v>62</v>
      </c>
      <c r="W1" s="55" t="s">
        <v>64</v>
      </c>
      <c r="X1" s="54" t="s">
        <v>63</v>
      </c>
      <c r="Y1" s="54" t="s">
        <v>65</v>
      </c>
      <c r="Z1" s="55" t="s">
        <v>59</v>
      </c>
      <c r="AA1" s="54" t="s">
        <v>67</v>
      </c>
      <c r="AB1" s="55" t="s">
        <v>60</v>
      </c>
      <c r="AC1" s="54" t="s">
        <v>68</v>
      </c>
      <c r="AD1" s="58" t="s">
        <v>280</v>
      </c>
    </row>
    <row r="2" spans="1:30" ht="38" thickBot="1" x14ac:dyDescent="0.4">
      <c r="A2" s="32" t="str">
        <f>_xlfn.XLOOKUP(C2,Table1[Countermeasure],Table1[Category (FHWA)],"")</f>
        <v>Speed Management</v>
      </c>
      <c r="B2" s="36" t="str">
        <f>_xlfn.XLOOKUP(A2,'Data Validation'!$A$2:$A$6,'Data Validation'!$C$2:$C$6,"")&amp;"."&amp;COUNTIF('Overall Table'!$A$2:A2,'Overall Table'!A2)</f>
        <v>SM.1</v>
      </c>
      <c r="C2" s="33" t="str">
        <f>'CM attributes, relevance'!A2</f>
        <v>Speed feedback signs</v>
      </c>
      <c r="D2" s="34"/>
      <c r="E2" s="35" t="str">
        <f>_xlfn.XLOOKUP(C2,'CMF source, cost, effectiveness'!$A$2:$A$101,'CMF source, cost, effectiveness'!$K$2:$K$101,"")</f>
        <v>Low</v>
      </c>
      <c r="F2" s="35" t="str">
        <f>_xlfn.XLOOKUP(C2,'CMF source, cost, effectiveness'!$A$2:$A$66,'CMF source, cost, effectiveness'!$M$2:$M$66,"")</f>
        <v>Less than 1 year</v>
      </c>
      <c r="G2" s="35" t="str">
        <f>_xlfn.XLOOKUP(C2,'CMF source, cost, effectiveness'!$A$2:$A$101,'CMF source, cost, effectiveness'!$L$2:$L$101,"")</f>
        <v>Proven</v>
      </c>
      <c r="H2" s="50" t="str">
        <f>_xlfn.XLOOKUP(C2,Table1[Countermeasure],Table1[Safe System Category],"")</f>
        <v>Safer Speeds</v>
      </c>
      <c r="I2" s="62" t="s">
        <v>48</v>
      </c>
      <c r="J2" s="1" t="str">
        <f>IF(_xlfn.XLOOKUP($C2,Table1[Countermeasure],Table1[Reduce Vehicle Speeds])="x","✓","")</f>
        <v>✓</v>
      </c>
      <c r="K2" s="62" t="s">
        <v>48</v>
      </c>
      <c r="L2" s="62" t="s">
        <v>48</v>
      </c>
      <c r="M2" s="23" t="str">
        <f>IF(OR(_xlfn.XLOOKUP($C2,Table1[Countermeasure],Table1[Signalized Intersection KSI (equity)])="x",_xlfn.XLOOKUP($C2,Table1[Countermeasure],Table1[Bike Crashes, No facility, midblock (equity)])="x",_xlfn.XLOOKUP($C2,Table1[Countermeasure],Table1[Local Intersection, Injury (equity)])="x",_xlfn.XLOOKUP($C2,Table1[Countermeasure],Table1[Posted Speed 40+ mph (equity)])="x"),"✓","")</f>
        <v>✓</v>
      </c>
      <c r="N2" s="2" t="str">
        <f>IF(NOT(ISERROR(SEARCH("CMF",_xlfn.XLOOKUP($C2,'CMF source, cost, effectiveness'!$A$2:$A$62,'CMF source, cost, effectiveness'!$G$2:$G$62)))),_xlfn.XLOOKUP($C2,'CMF source, cost, effectiveness'!$A$2:$A$62,'CMF source, cost, effectiveness'!$G$2:$G$62),"")</f>
        <v>CMF 6885</v>
      </c>
      <c r="O2" s="2" t="str">
        <f>IF(_xlfn.XLOOKUP($C2,Table1[Countermeasure],Table1[Proven Safety Countermeasure])="x","Proven Safety Countermeasures","")</f>
        <v>Proven Safety Countermeasures</v>
      </c>
      <c r="P2" s="2" t="str">
        <f>IF((_xlfn.XLOOKUP($C2,Table1[Countermeasure],Table1[NHTSA Countermeasures that Work])="x"),"NHTSA Countermeasures that Work","")</f>
        <v>NHTSA Countermeasures that Work</v>
      </c>
      <c r="Q2" s="62" t="s">
        <v>48</v>
      </c>
      <c r="R2" s="62" t="s">
        <v>48</v>
      </c>
      <c r="S2" s="62" t="s">
        <v>48</v>
      </c>
      <c r="T2" s="62" t="s">
        <v>48</v>
      </c>
      <c r="U2" s="31" t="str" cm="1">
        <f t="array" ref="U2">IF(_xlfn.XLOOKUP($C2,Table1[[Countermeasure]:[Countermeasure]],_xlfn.XLOOKUP('Overall Table'!U$1,Table1[[#Headers],[Bike Crashes, intersection turning conflicts]:[Speeding related vehicle crashes]],Table1[[Bike Crashes, intersection turning conflicts]:[Speeding related vehicle crashes]],""),"")="x","✓",IF(_xlfn.XLOOKUP($C2,Table1[Reduce Vehicle Speeds],_xlfn.XLOOKUP('Overall Table'!U$1,Table1[[#Headers],[Bike Crashes, intersection turning conflicts]:[Speeding related vehicle crashes]],Table1[[Bike Crashes, intersection turning conflicts]:[Speeding related vehicle crashes]],""),"")="o","O",""))</f>
        <v>✓</v>
      </c>
      <c r="V2" s="62" t="s">
        <v>48</v>
      </c>
      <c r="W2" s="31" t="str" cm="1">
        <f t="array" ref="W2">IF(_xlfn.XLOOKUP($C2,Table1[[Countermeasure]:[Countermeasure]],_xlfn.XLOOKUP('Overall Table'!W$1,Table1[[#Headers],[Bike Crashes, intersection turning conflicts]:[Speeding related vehicle crashes]],Table1[[Bike Crashes, intersection turning conflicts]:[Speeding related vehicle crashes]],""),"")="x","✓",IF(_xlfn.XLOOKUP($C2,Table1[Increase Attentiveness &amp; Awareness],_xlfn.XLOOKUP('Overall Table'!W$1,Table1[[#Headers],[Bike Crashes, intersection turning conflicts]:[Speeding related vehicle crashes]],Table1[[Bike Crashes, intersection turning conflicts]:[Speeding related vehicle crashes]],""),"")="o","O",""))</f>
        <v>✓</v>
      </c>
      <c r="X2" s="62" t="s">
        <v>48</v>
      </c>
      <c r="Y2" s="31" t="str" cm="1">
        <f t="array" ref="Y2">IF(_xlfn.XLOOKUP($C2,Table1[[Countermeasure]:[Countermeasure]],_xlfn.XLOOKUP('Overall Table'!Y$1,Table1[[#Headers],[Bike Crashes, intersection turning conflicts]:[Speeding related vehicle crashes]],Table1[[Bike Crashes, intersection turning conflicts]:[Speeding related vehicle crashes]],""),"")="x","✓",IF(_xlfn.XLOOKUP($C2,Table1[Category (FHWA)],_xlfn.XLOOKUP('Overall Table'!Y$1,Table1[[#Headers],[Bike Crashes, intersection turning conflicts]:[Speeding related vehicle crashes]],Table1[[Bike Crashes, intersection turning conflicts]:[Speeding related vehicle crashes]],""),"")="o","O",""))</f>
        <v>✓</v>
      </c>
      <c r="Z2" s="62" t="s">
        <v>48</v>
      </c>
      <c r="AA2" s="62" t="s">
        <v>48</v>
      </c>
      <c r="AB2" s="31" t="str" cm="1">
        <f t="array" ref="AB2">IF(_xlfn.XLOOKUP($C2,Table1[[Countermeasure]:[Countermeasure]],_xlfn.XLOOKUP('Overall Table'!AB$1,Table1[[#Headers],[Bike Crashes, intersection turning conflicts]:[Speeding related vehicle crashes]],Table1[[Bike Crashes, intersection turning conflicts]:[Speeding related vehicle crashes]],""),"")="x","✓",IF(_xlfn.XLOOKUP($C2,Table1[NCHRP 926],_xlfn.XLOOKUP('Overall Table'!AB$1,Table1[[#Headers],[Bike Crashes, intersection turning conflicts]:[Speeding related vehicle crashes]],Table1[[Bike Crashes, intersection turning conflicts]:[Speeding related vehicle crashes]],""),"")="o","O",""))</f>
        <v>✓</v>
      </c>
      <c r="AC2" s="31" t="str" cm="1">
        <f t="array" ref="AC2">IF(_xlfn.XLOOKUP($C2,Table1[[Countermeasure]:[Countermeasure]],_xlfn.XLOOKUP('Overall Table'!AC$1,Table1[[#Headers],[Bike Crashes, intersection turning conflicts]:[Speeding related vehicle crashes]],Table1[[Bike Crashes, intersection turning conflicts]:[Speeding related vehicle crashes]],""),"")="x","✓",IF(_xlfn.XLOOKUP($C2,Table1[NCHRP 1033],_xlfn.XLOOKUP('Overall Table'!AC$1,Table1[[#Headers],[Bike Crashes, intersection turning conflicts]:[Speeding related vehicle crashes]],Table1[[Bike Crashes, intersection turning conflicts]:[Speeding related vehicle crashes]],""),"")="o","O",""))</f>
        <v>✓</v>
      </c>
      <c r="AD2" s="62" t="s">
        <v>48</v>
      </c>
    </row>
    <row r="3" spans="1:30" ht="15" thickBot="1" x14ac:dyDescent="0.4">
      <c r="A3" s="32" t="str">
        <f>_xlfn.XLOOKUP(C3,Table1[Countermeasure],Table1[Category (FHWA)],"")</f>
        <v>Speed Management</v>
      </c>
      <c r="B3" s="36" t="str">
        <f>_xlfn.XLOOKUP(A3,'Data Validation'!$A$2:$A$6,'Data Validation'!$C$2:$C$6,"")&amp;"."&amp;COUNTIF('Overall Table'!$A$2:A3,'Overall Table'!A3)</f>
        <v>SM.2</v>
      </c>
      <c r="C3" s="33" t="str">
        <f>'CM attributes, relevance'!A3</f>
        <v>Add chicanes (horizontal deflection) to calm traffic</v>
      </c>
      <c r="D3" s="34"/>
      <c r="E3" s="35" t="str">
        <f>_xlfn.XLOOKUP(C3,'CMF source, cost, effectiveness'!$A$2:$A$101,'CMF source, cost, effectiveness'!$K$2:$K$101,"")</f>
        <v>Low</v>
      </c>
      <c r="F3" s="35" t="str">
        <f>_xlfn.XLOOKUP(C3,'CMF source, cost, effectiveness'!$A$2:$A$66,'CMF source, cost, effectiveness'!$M$2:$M$66,"")</f>
        <v>1 - 2 years</v>
      </c>
      <c r="G3" s="35" t="str">
        <f>_xlfn.XLOOKUP(C3,'CMF source, cost, effectiveness'!$A$2:$A$101,'CMF source, cost, effectiveness'!$L$2:$L$101,"")</f>
        <v>Tried</v>
      </c>
      <c r="H3" s="50" t="str">
        <f>_xlfn.XLOOKUP(C3,Table1[Countermeasure],Table1[Safe System Category],"")</f>
        <v>Safer Speeds</v>
      </c>
      <c r="I3" s="62" t="s">
        <v>48</v>
      </c>
      <c r="J3" s="1" t="str">
        <f>IF(_xlfn.XLOOKUP($C3,Table1[Countermeasure],Table1[Reduce Vehicle Speeds])="x","✓","")</f>
        <v>✓</v>
      </c>
      <c r="K3" s="62" t="s">
        <v>48</v>
      </c>
      <c r="L3" s="62" t="s">
        <v>48</v>
      </c>
      <c r="M3" s="23" t="str">
        <f>IF(OR(_xlfn.XLOOKUP($C3,Table1[Countermeasure],Table1[Signalized Intersection KSI (equity)])="x",_xlfn.XLOOKUP($C3,Table1[Countermeasure],Table1[Bike Crashes, No facility, midblock (equity)])="x",_xlfn.XLOOKUP($C3,Table1[Countermeasure],Table1[Local Intersection, Injury (equity)])="x",_xlfn.XLOOKUP($C3,Table1[Countermeasure],Table1[Posted Speed 40+ mph (equity)])="x"),"✓","")</f>
        <v>✓</v>
      </c>
      <c r="N3" s="62" t="s">
        <v>48</v>
      </c>
      <c r="O3" s="62" t="s">
        <v>48</v>
      </c>
      <c r="P3" s="62" t="s">
        <v>48</v>
      </c>
      <c r="Q3" s="62" t="s">
        <v>48</v>
      </c>
      <c r="R3" s="62" t="s">
        <v>48</v>
      </c>
      <c r="S3" s="62" t="s">
        <v>48</v>
      </c>
      <c r="T3" s="62" t="s">
        <v>48</v>
      </c>
      <c r="U3" s="31" t="str" cm="1">
        <f t="array" ref="U3">IF(_xlfn.XLOOKUP($C3,Table1[[Countermeasure]:[Countermeasure]],_xlfn.XLOOKUP('Overall Table'!U$1,Table1[[#Headers],[Bike Crashes, intersection turning conflicts]:[Speeding related vehicle crashes]],Table1[[Bike Crashes, intersection turning conflicts]:[Speeding related vehicle crashes]],""),"")="x","✓",IF(_xlfn.XLOOKUP($C3,Table1[Reduce Vehicle Speeds],_xlfn.XLOOKUP('Overall Table'!U$1,Table1[[#Headers],[Bike Crashes, intersection turning conflicts]:[Speeding related vehicle crashes]],Table1[[Bike Crashes, intersection turning conflicts]:[Speeding related vehicle crashes]],""),"")="o","O",""))</f>
        <v>✓</v>
      </c>
      <c r="V3" s="62" t="s">
        <v>48</v>
      </c>
      <c r="W3" s="31" t="str" cm="1">
        <f t="array" ref="W3">IF(_xlfn.XLOOKUP($C3,Table1[[Countermeasure]:[Countermeasure]],_xlfn.XLOOKUP('Overall Table'!W$1,Table1[[#Headers],[Bike Crashes, intersection turning conflicts]:[Speeding related vehicle crashes]],Table1[[Bike Crashes, intersection turning conflicts]:[Speeding related vehicle crashes]],""),"")="x","✓",IF(_xlfn.XLOOKUP($C3,Table1[Increase Attentiveness &amp; Awareness],_xlfn.XLOOKUP('Overall Table'!W$1,Table1[[#Headers],[Bike Crashes, intersection turning conflicts]:[Speeding related vehicle crashes]],Table1[[Bike Crashes, intersection turning conflicts]:[Speeding related vehicle crashes]],""),"")="o","O",""))</f>
        <v>✓</v>
      </c>
      <c r="X3" s="62" t="s">
        <v>48</v>
      </c>
      <c r="Y3" s="31" t="str" cm="1">
        <f t="array" ref="Y3">IF(_xlfn.XLOOKUP($C3,Table1[[Countermeasure]:[Countermeasure]],_xlfn.XLOOKUP('Overall Table'!Y$1,Table1[[#Headers],[Bike Crashes, intersection turning conflicts]:[Speeding related vehicle crashes]],Table1[[Bike Crashes, intersection turning conflicts]:[Speeding related vehicle crashes]],""),"")="x","✓",IF(_xlfn.XLOOKUP($C3,Table1[Category (FHWA)],_xlfn.XLOOKUP('Overall Table'!Y$1,Table1[[#Headers],[Bike Crashes, intersection turning conflicts]:[Speeding related vehicle crashes]],Table1[[Bike Crashes, intersection turning conflicts]:[Speeding related vehicle crashes]],""),"")="o","O",""))</f>
        <v>✓</v>
      </c>
      <c r="Z3" s="62" t="s">
        <v>48</v>
      </c>
      <c r="AA3" s="62" t="s">
        <v>48</v>
      </c>
      <c r="AB3" s="62" t="s">
        <v>48</v>
      </c>
      <c r="AC3" s="31" t="str" cm="1">
        <f t="array" ref="AC3">IF(_xlfn.XLOOKUP($C3,Table1[[Countermeasure]:[Countermeasure]],_xlfn.XLOOKUP('Overall Table'!AC$1,Table1[[#Headers],[Bike Crashes, intersection turning conflicts]:[Speeding related vehicle crashes]],Table1[[Bike Crashes, intersection turning conflicts]:[Speeding related vehicle crashes]],""),"")="x","✓",IF(_xlfn.XLOOKUP($C3,Table1[NCHRP 1033],_xlfn.XLOOKUP('Overall Table'!AC$1,Table1[[#Headers],[Bike Crashes, intersection turning conflicts]:[Speeding related vehicle crashes]],Table1[[Bike Crashes, intersection turning conflicts]:[Speeding related vehicle crashes]],""),"")="o","O",""))</f>
        <v>✓</v>
      </c>
      <c r="AD3" s="62" t="s">
        <v>48</v>
      </c>
    </row>
    <row r="4" spans="1:30" ht="25.5" thickBot="1" x14ac:dyDescent="0.4">
      <c r="A4" s="32" t="str">
        <f>_xlfn.XLOOKUP(C4,Table1[Countermeasure],Table1[Category (FHWA)],"")</f>
        <v>Speed Management</v>
      </c>
      <c r="B4" s="36" t="str">
        <f>_xlfn.XLOOKUP(A4,'Data Validation'!$A$2:$A$6,'Data Validation'!$C$2:$C$6,"")&amp;"."&amp;COUNTIF('Overall Table'!$A$2:A4,'Overall Table'!A4)</f>
        <v>SM.3</v>
      </c>
      <c r="C4" s="33" t="str">
        <f>'CM attributes, relevance'!A4</f>
        <v>Corridor signal timing to reduce high-speed flow</v>
      </c>
      <c r="D4" s="34"/>
      <c r="E4" s="35" t="str">
        <f>_xlfn.XLOOKUP(C4,'CMF source, cost, effectiveness'!$A$2:$A$101,'CMF source, cost, effectiveness'!$K$2:$K$101,"")</f>
        <v>Low</v>
      </c>
      <c r="F4" s="35" t="str">
        <f>_xlfn.XLOOKUP(C4,'CMF source, cost, effectiveness'!$A$2:$A$66,'CMF source, cost, effectiveness'!$M$2:$M$66,"")</f>
        <v>1 - 2 years</v>
      </c>
      <c r="G4" s="35" t="str">
        <f>_xlfn.XLOOKUP(C4,'CMF source, cost, effectiveness'!$A$2:$A$101,'CMF source, cost, effectiveness'!$L$2:$L$101,"")</f>
        <v>Proven</v>
      </c>
      <c r="H4" s="50" t="str">
        <f>_xlfn.XLOOKUP(C4,Table1[Countermeasure],Table1[Safe System Category],"")</f>
        <v>Safer Speeds</v>
      </c>
      <c r="I4" s="62" t="s">
        <v>48</v>
      </c>
      <c r="J4" s="1" t="str">
        <f>IF(_xlfn.XLOOKUP($C4,Table1[Countermeasure],Table1[Reduce Vehicle Speeds])="x","✓","")</f>
        <v>✓</v>
      </c>
      <c r="K4" s="62" t="s">
        <v>48</v>
      </c>
      <c r="L4" s="62" t="s">
        <v>48</v>
      </c>
      <c r="M4" s="23" t="str">
        <f>IF(OR(_xlfn.XLOOKUP($C4,Table1[Countermeasure],Table1[Signalized Intersection KSI (equity)])="x",_xlfn.XLOOKUP($C4,Table1[Countermeasure],Table1[Bike Crashes, No facility, midblock (equity)])="x",_xlfn.XLOOKUP($C4,Table1[Countermeasure],Table1[Local Intersection, Injury (equity)])="x",_xlfn.XLOOKUP($C4,Table1[Countermeasure],Table1[Posted Speed 40+ mph (equity)])="x"),"✓","")</f>
        <v>✓</v>
      </c>
      <c r="N4" s="62" t="s">
        <v>48</v>
      </c>
      <c r="O4" s="62" t="s">
        <v>48</v>
      </c>
      <c r="P4" s="62" t="s">
        <v>48</v>
      </c>
      <c r="Q4" s="2" t="str">
        <f>IF(NOT(ISERROR(SEARCH("Big",_xlfn.XLOOKUP($C4,'CMF source, cost, effectiveness'!$A$2:$A$62,'CMF source, cost, effectiveness'!$G$2:$G$62)))),"Minnesota District Safety Plan Big Book of Ideas","")</f>
        <v>Minnesota District Safety Plan Big Book of Ideas</v>
      </c>
      <c r="R4" s="2" t="str">
        <f>IF(_xlfn.XLOOKUP($C4,Table1[Countermeasure],Table1[NCHRP 926])="x","NCHRP 926","")</f>
        <v>NCHRP 926</v>
      </c>
      <c r="S4" s="62" t="s">
        <v>48</v>
      </c>
      <c r="T4" s="31" t="str" cm="1">
        <f t="array" ref="T4">IF(_xlfn.XLOOKUP($C4,Table1[[Countermeasure]:[Countermeasure]],_xlfn.XLOOKUP('Overall Table'!T$1,Table1[[#Headers],[Bike Crashes, intersection turning conflicts]:[Speeding related vehicle crashes]],Table1[[Bike Crashes, intersection turning conflicts]:[Speeding related vehicle crashes]],""),"")="x","✓",IF(_xlfn.XLOOKUP($C4,Table1[Remove Severe Conflicts],_xlfn.XLOOKUP('Overall Table'!T$1,Table1[[#Headers],[Bike Crashes, intersection turning conflicts]:[Speeding related vehicle crashes]],Table1[[Bike Crashes, intersection turning conflicts]:[Speeding related vehicle crashes]],""),"")="o","O",""))</f>
        <v>✓</v>
      </c>
      <c r="U4" s="62" t="s">
        <v>48</v>
      </c>
      <c r="V4" s="62" t="s">
        <v>48</v>
      </c>
      <c r="W4" s="31" t="str" cm="1">
        <f t="array" ref="W4">IF(_xlfn.XLOOKUP($C4,Table1[[Countermeasure]:[Countermeasure]],_xlfn.XLOOKUP('Overall Table'!W$1,Table1[[#Headers],[Bike Crashes, intersection turning conflicts]:[Speeding related vehicle crashes]],Table1[[Bike Crashes, intersection turning conflicts]:[Speeding related vehicle crashes]],""),"")="x","✓",IF(_xlfn.XLOOKUP($C4,Table1[Increase Attentiveness &amp; Awareness],_xlfn.XLOOKUP('Overall Table'!W$1,Table1[[#Headers],[Bike Crashes, intersection turning conflicts]:[Speeding related vehicle crashes]],Table1[[Bike Crashes, intersection turning conflicts]:[Speeding related vehicle crashes]],""),"")="o","O",""))</f>
        <v>✓</v>
      </c>
      <c r="X4" s="62" t="s">
        <v>48</v>
      </c>
      <c r="Y4" s="31" t="str" cm="1">
        <f t="array" ref="Y4">IF(_xlfn.XLOOKUP($C4,Table1[[Countermeasure]:[Countermeasure]],_xlfn.XLOOKUP('Overall Table'!Y$1,Table1[[#Headers],[Bike Crashes, intersection turning conflicts]:[Speeding related vehicle crashes]],Table1[[Bike Crashes, intersection turning conflicts]:[Speeding related vehicle crashes]],""),"")="x","✓",IF(_xlfn.XLOOKUP($C4,Table1[Category (FHWA)],_xlfn.XLOOKUP('Overall Table'!Y$1,Table1[[#Headers],[Bike Crashes, intersection turning conflicts]:[Speeding related vehicle crashes]],Table1[[Bike Crashes, intersection turning conflicts]:[Speeding related vehicle crashes]],""),"")="o","O",""))</f>
        <v>✓</v>
      </c>
      <c r="Z4" s="62" t="s">
        <v>48</v>
      </c>
      <c r="AA4" s="31" t="str" cm="1">
        <f t="array" ref="AA4">IF(_xlfn.XLOOKUP($C4,Table1[[Countermeasure]:[Countermeasure]],_xlfn.XLOOKUP('Overall Table'!AA$1,Table1[[#Headers],[Bike Crashes, intersection turning conflicts]:[Speeding related vehicle crashes]],Table1[[Bike Crashes, intersection turning conflicts]:[Speeding related vehicle crashes]],""),"")="x","✓",IF(_xlfn.XLOOKUP($C4,Table1[MnDOT District Roadway Safety "Big Book of Ideas"],_xlfn.XLOOKUP('Overall Table'!AA$1,Table1[[#Headers],[Bike Crashes, intersection turning conflicts]:[Speeding related vehicle crashes]],Table1[[Bike Crashes, intersection turning conflicts]:[Speeding related vehicle crashes]],""),"")="o","O",""))</f>
        <v>✓</v>
      </c>
      <c r="AB4" s="62" t="s">
        <v>48</v>
      </c>
      <c r="AC4" s="31" t="str" cm="1">
        <f t="array" ref="AC4">IF(_xlfn.XLOOKUP($C4,Table1[[Countermeasure]:[Countermeasure]],_xlfn.XLOOKUP('Overall Table'!AC$1,Table1[[#Headers],[Bike Crashes, intersection turning conflicts]:[Speeding related vehicle crashes]],Table1[[Bike Crashes, intersection turning conflicts]:[Speeding related vehicle crashes]],""),"")="x","✓",IF(_xlfn.XLOOKUP($C4,Table1[NCHRP 1033],_xlfn.XLOOKUP('Overall Table'!AC$1,Table1[[#Headers],[Bike Crashes, intersection turning conflicts]:[Speeding related vehicle crashes]],Table1[[Bike Crashes, intersection turning conflicts]:[Speeding related vehicle crashes]],""),"")="o","O",""))</f>
        <v>✓</v>
      </c>
      <c r="AD4" s="62" t="s">
        <v>48</v>
      </c>
    </row>
    <row r="5" spans="1:30" ht="53" thickBot="1" x14ac:dyDescent="0.4">
      <c r="A5" s="32" t="str">
        <f>_xlfn.XLOOKUP(C5,Table1[Countermeasure],Table1[Category (FHWA)],"")</f>
        <v>Speed Management</v>
      </c>
      <c r="B5" s="36" t="str">
        <f>_xlfn.XLOOKUP(A5,'Data Validation'!$A$2:$A$6,'Data Validation'!$C$2:$C$6,"")&amp;"."&amp;COUNTIF('Overall Table'!$A$2:A5,'Overall Table'!A5)</f>
        <v>SM.4</v>
      </c>
      <c r="C5" s="33" t="str">
        <f>'CM attributes, relevance'!A5</f>
        <v>Speed safety cameras</v>
      </c>
      <c r="D5" s="34"/>
      <c r="E5" s="35" t="str">
        <f>_xlfn.XLOOKUP(C5,'CMF source, cost, effectiveness'!$A$2:$A$101,'CMF source, cost, effectiveness'!$K$2:$K$101,"")</f>
        <v>Moderate</v>
      </c>
      <c r="F5" s="35" t="str">
        <f>_xlfn.XLOOKUP(C5,'CMF source, cost, effectiveness'!$A$2:$A$66,'CMF source, cost, effectiveness'!$M$2:$M$66,"")</f>
        <v>1 - 2 years</v>
      </c>
      <c r="G5" s="35" t="str">
        <f>_xlfn.XLOOKUP(C5,'CMF source, cost, effectiveness'!$A$2:$A$101,'CMF source, cost, effectiveness'!$L$2:$L$101,"")</f>
        <v>Proven</v>
      </c>
      <c r="H5" s="50" t="str">
        <f>_xlfn.XLOOKUP(C5,Table1[Countermeasure],Table1[Safe System Category],"")</f>
        <v>Safer Speeds</v>
      </c>
      <c r="I5" s="62" t="s">
        <v>48</v>
      </c>
      <c r="J5" s="1" t="str">
        <f>IF(_xlfn.XLOOKUP($C5,Table1[Countermeasure],Table1[Reduce Vehicle Speeds])="x","✓","")</f>
        <v>✓</v>
      </c>
      <c r="K5" s="62" t="s">
        <v>48</v>
      </c>
      <c r="L5" s="62" t="s">
        <v>48</v>
      </c>
      <c r="M5" s="23" t="str">
        <f>IF(OR(_xlfn.XLOOKUP($C5,Table1[Countermeasure],Table1[Signalized Intersection KSI (equity)])="x",_xlfn.XLOOKUP($C5,Table1[Countermeasure],Table1[Bike Crashes, No facility, midblock (equity)])="x",_xlfn.XLOOKUP($C5,Table1[Countermeasure],Table1[Local Intersection, Injury (equity)])="x",_xlfn.XLOOKUP($C5,Table1[Countermeasure],Table1[Posted Speed 40+ mph (equity)])="x"),"✓","")</f>
        <v>✓</v>
      </c>
      <c r="N5" s="2" t="str">
        <f>IF(NOT(ISERROR(SEARCH("CMF",_xlfn.XLOOKUP($C5,'CMF source, cost, effectiveness'!$A$2:$A$62,'CMF source, cost, effectiveness'!$G$2:$G$62)))),_xlfn.XLOOKUP($C5,'CMF source, cost, effectiveness'!$A$2:$A$62,'CMF source, cost, effectiveness'!$G$2:$G$62),"")</f>
        <v>CMF 8183</v>
      </c>
      <c r="O5" s="2" t="str">
        <f>IF(_xlfn.XLOOKUP($C5,Table1[Countermeasure],Table1[Proven Safety Countermeasure])="x","Proven Safety Countermeasures","")</f>
        <v>Proven Safety Countermeasures</v>
      </c>
      <c r="P5" s="2" t="str">
        <f>IF((_xlfn.XLOOKUP($C5,Table1[Countermeasure],Table1[NHTSA Countermeasures that Work])="x"),"NHTSA Countermeasures that Work","")</f>
        <v>NHTSA Countermeasures that Work</v>
      </c>
      <c r="Q5" s="62" t="s">
        <v>48</v>
      </c>
      <c r="R5" s="62" t="s">
        <v>48</v>
      </c>
      <c r="S5" s="62" t="s">
        <v>48</v>
      </c>
      <c r="T5" s="62" t="s">
        <v>48</v>
      </c>
      <c r="U5" s="62" t="s">
        <v>48</v>
      </c>
      <c r="V5" s="62" t="s">
        <v>48</v>
      </c>
      <c r="W5" s="31" t="str" cm="1">
        <f t="array" ref="W5">IF(_xlfn.XLOOKUP($C5,Table1[[Countermeasure]:[Countermeasure]],_xlfn.XLOOKUP('Overall Table'!W$1,Table1[[#Headers],[Bike Crashes, intersection turning conflicts]:[Speeding related vehicle crashes]],Table1[[Bike Crashes, intersection turning conflicts]:[Speeding related vehicle crashes]],""),"")="x","✓",IF(_xlfn.XLOOKUP($C5,Table1[Increase Attentiveness &amp; Awareness],_xlfn.XLOOKUP('Overall Table'!W$1,Table1[[#Headers],[Bike Crashes, intersection turning conflicts]:[Speeding related vehicle crashes]],Table1[[Bike Crashes, intersection turning conflicts]:[Speeding related vehicle crashes]],""),"")="o","O",""))</f>
        <v>✓</v>
      </c>
      <c r="X5" s="62" t="s">
        <v>48</v>
      </c>
      <c r="Y5" s="31" t="str" cm="1">
        <f t="array" ref="Y5">IF(_xlfn.XLOOKUP($C5,Table1[[Countermeasure]:[Countermeasure]],_xlfn.XLOOKUP('Overall Table'!Y$1,Table1[[#Headers],[Bike Crashes, intersection turning conflicts]:[Speeding related vehicle crashes]],Table1[[Bike Crashes, intersection turning conflicts]:[Speeding related vehicle crashes]],""),"")="x","✓",IF(_xlfn.XLOOKUP($C5,Table1[Category (FHWA)],_xlfn.XLOOKUP('Overall Table'!Y$1,Table1[[#Headers],[Bike Crashes, intersection turning conflicts]:[Speeding related vehicle crashes]],Table1[[Bike Crashes, intersection turning conflicts]:[Speeding related vehicle crashes]],""),"")="o","O",""))</f>
        <v>✓</v>
      </c>
      <c r="Z5" s="62" t="s">
        <v>48</v>
      </c>
      <c r="AA5" s="62" t="s">
        <v>48</v>
      </c>
      <c r="AB5" s="31" t="str" cm="1">
        <f t="array" ref="AB5">IF(_xlfn.XLOOKUP($C5,Table1[[Countermeasure]:[Countermeasure]],_xlfn.XLOOKUP('Overall Table'!AB$1,Table1[[#Headers],[Bike Crashes, intersection turning conflicts]:[Speeding related vehicle crashes]],Table1[[Bike Crashes, intersection turning conflicts]:[Speeding related vehicle crashes]],""),"")="x","✓",IF(_xlfn.XLOOKUP($C5,Table1[NCHRP 926],_xlfn.XLOOKUP('Overall Table'!AB$1,Table1[[#Headers],[Bike Crashes, intersection turning conflicts]:[Speeding related vehicle crashes]],Table1[[Bike Crashes, intersection turning conflicts]:[Speeding related vehicle crashes]],""),"")="o","O",""))</f>
        <v>✓</v>
      </c>
      <c r="AC5" s="31" t="str" cm="1">
        <f t="array" ref="AC5">IF(_xlfn.XLOOKUP($C5,Table1[[Countermeasure]:[Countermeasure]],_xlfn.XLOOKUP('Overall Table'!AC$1,Table1[[#Headers],[Bike Crashes, intersection turning conflicts]:[Speeding related vehicle crashes]],Table1[[Bike Crashes, intersection turning conflicts]:[Speeding related vehicle crashes]],""),"")="x","✓",IF(_xlfn.XLOOKUP($C5,Table1[NCHRP 1033],_xlfn.XLOOKUP('Overall Table'!AC$1,Table1[[#Headers],[Bike Crashes, intersection turning conflicts]:[Speeding related vehicle crashes]],Table1[[Bike Crashes, intersection turning conflicts]:[Speeding related vehicle crashes]],""),"")="o","O",""))</f>
        <v>✓</v>
      </c>
      <c r="AD5" s="52" t="s">
        <v>281</v>
      </c>
    </row>
    <row r="6" spans="1:30" ht="38" thickBot="1" x14ac:dyDescent="0.4">
      <c r="A6" s="32" t="str">
        <f>_xlfn.XLOOKUP(C6,Table1[Countermeasure],Table1[Category (FHWA)],"")</f>
        <v>Speed Management</v>
      </c>
      <c r="B6" s="36" t="str">
        <f>_xlfn.XLOOKUP(A6,'Data Validation'!$A$2:$A$6,'Data Validation'!$C$2:$C$6,"")&amp;"."&amp;COUNTIF('Overall Table'!$A$2:A6,'Overall Table'!A6)</f>
        <v>SM.5</v>
      </c>
      <c r="C6" s="33" t="str">
        <f>'CM attributes, relevance'!A6</f>
        <v>Appropriate speed limits for all users</v>
      </c>
      <c r="D6" s="34"/>
      <c r="E6" s="35" t="str">
        <f>_xlfn.XLOOKUP(C6,'CMF source, cost, effectiveness'!$A$2:$A$101,'CMF source, cost, effectiveness'!$K$2:$K$101,"")</f>
        <v>Low</v>
      </c>
      <c r="F6" s="35" t="str">
        <f>_xlfn.XLOOKUP(C6,'CMF source, cost, effectiveness'!$A$2:$A$66,'CMF source, cost, effectiveness'!$M$2:$M$66,"")</f>
        <v>Less than 1 year</v>
      </c>
      <c r="G6" s="35" t="str">
        <f>_xlfn.XLOOKUP(C6,'CMF source, cost, effectiveness'!$A$2:$A$101,'CMF source, cost, effectiveness'!$L$2:$L$101,"")</f>
        <v>Proven</v>
      </c>
      <c r="H6" s="50" t="str">
        <f>_xlfn.XLOOKUP(C6,Table1[Countermeasure],Table1[Safe System Category],"")</f>
        <v>Safer Speeds</v>
      </c>
      <c r="I6" s="62" t="s">
        <v>48</v>
      </c>
      <c r="J6" s="1" t="str">
        <f>IF(_xlfn.XLOOKUP($C6,Table1[Countermeasure],Table1[Reduce Vehicle Speeds])="x","✓","")</f>
        <v>✓</v>
      </c>
      <c r="K6" s="62" t="s">
        <v>48</v>
      </c>
      <c r="L6" s="62" t="s">
        <v>48</v>
      </c>
      <c r="M6" s="23" t="str">
        <f>IF(OR(_xlfn.XLOOKUP($C6,Table1[Countermeasure],Table1[Signalized Intersection KSI (equity)])="x",_xlfn.XLOOKUP($C6,Table1[Countermeasure],Table1[Bike Crashes, No facility, midblock (equity)])="x",_xlfn.XLOOKUP($C6,Table1[Countermeasure],Table1[Local Intersection, Injury (equity)])="x",_xlfn.XLOOKUP($C6,Table1[Countermeasure],Table1[Posted Speed 40+ mph (equity)])="x"),"✓","")</f>
        <v>✓</v>
      </c>
      <c r="N6" s="62" t="s">
        <v>48</v>
      </c>
      <c r="O6" s="2" t="str">
        <f>IF(_xlfn.XLOOKUP($C6,Table1[Countermeasure],Table1[Proven Safety Countermeasure])="x","Proven Safety Countermeasures","")</f>
        <v>Proven Safety Countermeasures</v>
      </c>
      <c r="P6" s="2" t="str">
        <f>IF((_xlfn.XLOOKUP($C6,Table1[Countermeasure],Table1[NHTSA Countermeasures that Work])="x"),"NHTSA Countermeasures that Work","")</f>
        <v>NHTSA Countermeasures that Work</v>
      </c>
      <c r="Q6" s="62" t="s">
        <v>48</v>
      </c>
      <c r="R6" s="62" t="s">
        <v>48</v>
      </c>
      <c r="S6" s="62" t="s">
        <v>48</v>
      </c>
      <c r="T6" s="62" t="s">
        <v>48</v>
      </c>
      <c r="U6" s="31" t="str" cm="1">
        <f t="array" ref="U6">IF(_xlfn.XLOOKUP($C6,Table1[[Countermeasure]:[Countermeasure]],_xlfn.XLOOKUP('Overall Table'!U$1,Table1[[#Headers],[Bike Crashes, intersection turning conflicts]:[Speeding related vehicle crashes]],Table1[[Bike Crashes, intersection turning conflicts]:[Speeding related vehicle crashes]],""),"")="x","✓",IF(_xlfn.XLOOKUP($C6,Table1[Reduce Vehicle Speeds],_xlfn.XLOOKUP('Overall Table'!U$1,Table1[[#Headers],[Bike Crashes, intersection turning conflicts]:[Speeding related vehicle crashes]],Table1[[Bike Crashes, intersection turning conflicts]:[Speeding related vehicle crashes]],""),"")="o","O",""))</f>
        <v>✓</v>
      </c>
      <c r="V6" s="62" t="s">
        <v>48</v>
      </c>
      <c r="W6" s="31" t="str" cm="1">
        <f t="array" ref="W6">IF(_xlfn.XLOOKUP($C6,Table1[[Countermeasure]:[Countermeasure]],_xlfn.XLOOKUP('Overall Table'!W$1,Table1[[#Headers],[Bike Crashes, intersection turning conflicts]:[Speeding related vehicle crashes]],Table1[[Bike Crashes, intersection turning conflicts]:[Speeding related vehicle crashes]],""),"")="x","✓",IF(_xlfn.XLOOKUP($C6,Table1[Increase Attentiveness &amp; Awareness],_xlfn.XLOOKUP('Overall Table'!W$1,Table1[[#Headers],[Bike Crashes, intersection turning conflicts]:[Speeding related vehicle crashes]],Table1[[Bike Crashes, intersection turning conflicts]:[Speeding related vehicle crashes]],""),"")="o","O",""))</f>
        <v>✓</v>
      </c>
      <c r="X6" s="62" t="s">
        <v>48</v>
      </c>
      <c r="Y6" s="31" t="str" cm="1">
        <f t="array" ref="Y6">IF(_xlfn.XLOOKUP($C6,Table1[[Countermeasure]:[Countermeasure]],_xlfn.XLOOKUP('Overall Table'!Y$1,Table1[[#Headers],[Bike Crashes, intersection turning conflicts]:[Speeding related vehicle crashes]],Table1[[Bike Crashes, intersection turning conflicts]:[Speeding related vehicle crashes]],""),"")="x","✓",IF(_xlfn.XLOOKUP($C6,Table1[Category (FHWA)],_xlfn.XLOOKUP('Overall Table'!Y$1,Table1[[#Headers],[Bike Crashes, intersection turning conflicts]:[Speeding related vehicle crashes]],Table1[[Bike Crashes, intersection turning conflicts]:[Speeding related vehicle crashes]],""),"")="o","O",""))</f>
        <v>✓</v>
      </c>
      <c r="Z6" s="62" t="s">
        <v>48</v>
      </c>
      <c r="AA6" s="62" t="s">
        <v>48</v>
      </c>
      <c r="AB6" s="31" t="str" cm="1">
        <f t="array" ref="AB6">IF(_xlfn.XLOOKUP($C6,Table1[[Countermeasure]:[Countermeasure]],_xlfn.XLOOKUP('Overall Table'!AB$1,Table1[[#Headers],[Bike Crashes, intersection turning conflicts]:[Speeding related vehicle crashes]],Table1[[Bike Crashes, intersection turning conflicts]:[Speeding related vehicle crashes]],""),"")="x","✓",IF(_xlfn.XLOOKUP($C6,Table1[NCHRP 926],_xlfn.XLOOKUP('Overall Table'!AB$1,Table1[[#Headers],[Bike Crashes, intersection turning conflicts]:[Speeding related vehicle crashes]],Table1[[Bike Crashes, intersection turning conflicts]:[Speeding related vehicle crashes]],""),"")="o","O",""))</f>
        <v>✓</v>
      </c>
      <c r="AC6" s="31" t="str" cm="1">
        <f t="array" ref="AC6">IF(_xlfn.XLOOKUP($C6,Table1[[Countermeasure]:[Countermeasure]],_xlfn.XLOOKUP('Overall Table'!AC$1,Table1[[#Headers],[Bike Crashes, intersection turning conflicts]:[Speeding related vehicle crashes]],Table1[[Bike Crashes, intersection turning conflicts]:[Speeding related vehicle crashes]],""),"")="x","✓",IF(_xlfn.XLOOKUP($C6,Table1[NCHRP 1033],_xlfn.XLOOKUP('Overall Table'!AC$1,Table1[[#Headers],[Bike Crashes, intersection turning conflicts]:[Speeding related vehicle crashes]],Table1[[Bike Crashes, intersection turning conflicts]:[Speeding related vehicle crashes]],""),"")="o","O",""))</f>
        <v>✓</v>
      </c>
      <c r="AD6" s="62" t="s">
        <v>48</v>
      </c>
    </row>
    <row r="7" spans="1:30" ht="105" thickBot="1" x14ac:dyDescent="0.4">
      <c r="A7" s="32" t="str">
        <f>_xlfn.XLOOKUP(C7,Table1[Countermeasure],Table1[Category (FHWA)],"")</f>
        <v>Speed Management</v>
      </c>
      <c r="B7" s="36" t="str">
        <f>_xlfn.XLOOKUP(A7,'Data Validation'!$A$2:$A$6,'Data Validation'!$C$2:$C$6,"")&amp;"."&amp;COUNTIF('Overall Table'!$A$2:A7,'Overall Table'!A7)</f>
        <v>SM.6</v>
      </c>
      <c r="C7" s="33" t="str">
        <f>'CM attributes, relevance'!A7</f>
        <v>Traffic calming</v>
      </c>
      <c r="D7" s="34"/>
      <c r="E7" s="35" t="str">
        <f>_xlfn.XLOOKUP(C7,'CMF source, cost, effectiveness'!$A$2:$A$101,'CMF source, cost, effectiveness'!$K$2:$K$101,"")</f>
        <v>Moderate</v>
      </c>
      <c r="F7" s="35" t="str">
        <f>_xlfn.XLOOKUP(C7,'CMF source, cost, effectiveness'!$A$2:$A$66,'CMF source, cost, effectiveness'!$M$2:$M$66,"")</f>
        <v>1 - 2 years</v>
      </c>
      <c r="G7" s="35" t="str">
        <f>_xlfn.XLOOKUP(C7,'CMF source, cost, effectiveness'!$A$2:$A$101,'CMF source, cost, effectiveness'!$L$2:$L$101,"")</f>
        <v>Documented</v>
      </c>
      <c r="H7" s="50" t="str">
        <f>_xlfn.XLOOKUP(C7,Table1[Countermeasure],Table1[Safe System Category],"")</f>
        <v>Safer Speeds</v>
      </c>
      <c r="I7" s="62" t="s">
        <v>48</v>
      </c>
      <c r="J7" s="1" t="str">
        <f>IF(_xlfn.XLOOKUP($C7,Table1[Countermeasure],Table1[Reduce Vehicle Speeds])="x","✓","")</f>
        <v>✓</v>
      </c>
      <c r="K7" s="62" t="s">
        <v>48</v>
      </c>
      <c r="L7" s="62" t="s">
        <v>48</v>
      </c>
      <c r="M7" s="23" t="str">
        <f>IF(OR(_xlfn.XLOOKUP($C7,Table1[Countermeasure],Table1[Signalized Intersection KSI (equity)])="x",_xlfn.XLOOKUP($C7,Table1[Countermeasure],Table1[Bike Crashes, No facility, midblock (equity)])="x",_xlfn.XLOOKUP($C7,Table1[Countermeasure],Table1[Local Intersection, Injury (equity)])="x",_xlfn.XLOOKUP($C7,Table1[Countermeasure],Table1[Posted Speed 40+ mph (equity)])="x"),"✓","")</f>
        <v>✓</v>
      </c>
      <c r="N7" s="2" t="str">
        <f>IF(NOT(ISERROR(SEARCH("CMF",_xlfn.XLOOKUP($C7,'CMF source, cost, effectiveness'!$A$2:$A$62,'CMF source, cost, effectiveness'!$G$2:$G$62)))),_xlfn.XLOOKUP($C7,'CMF source, cost, effectiveness'!$A$2:$A$62,'CMF source, cost, effectiveness'!$G$2:$G$62),"")</f>
        <v>CMF 586</v>
      </c>
      <c r="O7" s="62" t="s">
        <v>48</v>
      </c>
      <c r="P7" s="62" t="s">
        <v>48</v>
      </c>
      <c r="Q7" s="62" t="s">
        <v>48</v>
      </c>
      <c r="R7" s="62" t="s">
        <v>48</v>
      </c>
      <c r="S7" s="62" t="s">
        <v>48</v>
      </c>
      <c r="T7" s="62" t="s">
        <v>48</v>
      </c>
      <c r="U7" s="31" t="str" cm="1">
        <f t="array" ref="U7">IF(_xlfn.XLOOKUP($C7,Table1[[Countermeasure]:[Countermeasure]],_xlfn.XLOOKUP('Overall Table'!U$1,Table1[[#Headers],[Bike Crashes, intersection turning conflicts]:[Speeding related vehicle crashes]],Table1[[Bike Crashes, intersection turning conflicts]:[Speeding related vehicle crashes]],""),"")="x","✓",IF(_xlfn.XLOOKUP($C7,Table1[Reduce Vehicle Speeds],_xlfn.XLOOKUP('Overall Table'!U$1,Table1[[#Headers],[Bike Crashes, intersection turning conflicts]:[Speeding related vehicle crashes]],Table1[[Bike Crashes, intersection turning conflicts]:[Speeding related vehicle crashes]],""),"")="o","O",""))</f>
        <v>✓</v>
      </c>
      <c r="V7" s="62" t="s">
        <v>48</v>
      </c>
      <c r="W7" s="31" t="str" cm="1">
        <f t="array" ref="W7">IF(_xlfn.XLOOKUP($C7,Table1[[Countermeasure]:[Countermeasure]],_xlfn.XLOOKUP('Overall Table'!W$1,Table1[[#Headers],[Bike Crashes, intersection turning conflicts]:[Speeding related vehicle crashes]],Table1[[Bike Crashes, intersection turning conflicts]:[Speeding related vehicle crashes]],""),"")="x","✓",IF(_xlfn.XLOOKUP($C7,Table1[Increase Attentiveness &amp; Awareness],_xlfn.XLOOKUP('Overall Table'!W$1,Table1[[#Headers],[Bike Crashes, intersection turning conflicts]:[Speeding related vehicle crashes]],Table1[[Bike Crashes, intersection turning conflicts]:[Speeding related vehicle crashes]],""),"")="o","O",""))</f>
        <v>✓</v>
      </c>
      <c r="X7" s="62" t="s">
        <v>48</v>
      </c>
      <c r="Y7" s="31" t="str" cm="1">
        <f t="array" ref="Y7">IF(_xlfn.XLOOKUP($C7,Table1[[Countermeasure]:[Countermeasure]],_xlfn.XLOOKUP('Overall Table'!Y$1,Table1[[#Headers],[Bike Crashes, intersection turning conflicts]:[Speeding related vehicle crashes]],Table1[[Bike Crashes, intersection turning conflicts]:[Speeding related vehicle crashes]],""),"")="x","✓",IF(_xlfn.XLOOKUP($C7,Table1[Category (FHWA)],_xlfn.XLOOKUP('Overall Table'!Y$1,Table1[[#Headers],[Bike Crashes, intersection turning conflicts]:[Speeding related vehicle crashes]],Table1[[Bike Crashes, intersection turning conflicts]:[Speeding related vehicle crashes]],""),"")="o","O",""))</f>
        <v>✓</v>
      </c>
      <c r="Z7" s="31" t="str" cm="1">
        <f t="array" ref="Z7">IF(_xlfn.XLOOKUP($C7,Table1[[Countermeasure]:[Countermeasure]],_xlfn.XLOOKUP('Overall Table'!Z$1,Table1[[#Headers],[Bike Crashes, intersection turning conflicts]:[Speeding related vehicle crashes]],Table1[[Bike Crashes, intersection turning conflicts]:[Speeding related vehicle crashes]],""),"")="x","✓",IF(_xlfn.XLOOKUP($C7,Table1[Proven Safety Countermeasure],_xlfn.XLOOKUP('Overall Table'!Z$1,Table1[[#Headers],[Bike Crashes, intersection turning conflicts]:[Speeding related vehicle crashes]],Table1[[Bike Crashes, intersection turning conflicts]:[Speeding related vehicle crashes]],""),"")="o","O",""))</f>
        <v>✓</v>
      </c>
      <c r="AA7" s="31" t="str" cm="1">
        <f t="array" ref="AA7">IF(_xlfn.XLOOKUP($C7,Table1[[Countermeasure]:[Countermeasure]],_xlfn.XLOOKUP('Overall Table'!AA$1,Table1[[#Headers],[Bike Crashes, intersection turning conflicts]:[Speeding related vehicle crashes]],Table1[[Bike Crashes, intersection turning conflicts]:[Speeding related vehicle crashes]],""),"")="x","✓",IF(_xlfn.XLOOKUP($C7,Table1[MnDOT District Roadway Safety "Big Book of Ideas"],_xlfn.XLOOKUP('Overall Table'!AA$1,Table1[[#Headers],[Bike Crashes, intersection turning conflicts]:[Speeding related vehicle crashes]],Table1[[Bike Crashes, intersection turning conflicts]:[Speeding related vehicle crashes]],""),"")="o","O",""))</f>
        <v>✓</v>
      </c>
      <c r="AB7" s="62" t="s">
        <v>48</v>
      </c>
      <c r="AC7" s="31" t="str" cm="1">
        <f t="array" ref="AC7">IF(_xlfn.XLOOKUP($C7,Table1[[Countermeasure]:[Countermeasure]],_xlfn.XLOOKUP('Overall Table'!AC$1,Table1[[#Headers],[Bike Crashes, intersection turning conflicts]:[Speeding related vehicle crashes]],Table1[[Bike Crashes, intersection turning conflicts]:[Speeding related vehicle crashes]],""),"")="x","✓",IF(_xlfn.XLOOKUP($C7,Table1[NCHRP 1033],_xlfn.XLOOKUP('Overall Table'!AC$1,Table1[[#Headers],[Bike Crashes, intersection turning conflicts]:[Speeding related vehicle crashes]],Table1[[Bike Crashes, intersection turning conflicts]:[Speeding related vehicle crashes]],""),"")="o","O",""))</f>
        <v>✓</v>
      </c>
      <c r="AD7" s="52" t="s">
        <v>282</v>
      </c>
    </row>
    <row r="8" spans="1:30" ht="15" thickBot="1" x14ac:dyDescent="0.4">
      <c r="A8" s="32" t="str">
        <f>_xlfn.XLOOKUP(C8,Table1[Countermeasure],Table1[Category (FHWA)],"")</f>
        <v>Speed Management</v>
      </c>
      <c r="B8" s="36" t="str">
        <f>_xlfn.XLOOKUP(A8,'Data Validation'!$A$2:$A$6,'Data Validation'!$C$2:$C$6,"")&amp;"."&amp;COUNTIF('Overall Table'!$A$2:A8,'Overall Table'!A8)</f>
        <v>SM.7</v>
      </c>
      <c r="C8" s="33" t="str">
        <f>'CM attributes, relevance'!A8</f>
        <v>Lane narrowing</v>
      </c>
      <c r="D8" s="34"/>
      <c r="E8" s="35" t="str">
        <f>_xlfn.XLOOKUP(C8,'CMF source, cost, effectiveness'!$A$2:$A$101,'CMF source, cost, effectiveness'!$K$2:$K$101,"")</f>
        <v>Moderate</v>
      </c>
      <c r="F8" s="35" t="str">
        <f>_xlfn.XLOOKUP(C8,'CMF source, cost, effectiveness'!$A$2:$A$66,'CMF source, cost, effectiveness'!$M$2:$M$66,"")</f>
        <v>Less than 1 year</v>
      </c>
      <c r="G8" s="35" t="str">
        <f>_xlfn.XLOOKUP(C8,'CMF source, cost, effectiveness'!$A$2:$A$101,'CMF source, cost, effectiveness'!$L$2:$L$101,"")</f>
        <v>Documented</v>
      </c>
      <c r="H8" s="50" t="str">
        <f>_xlfn.XLOOKUP(C8,Table1[Countermeasure],Table1[Safe System Category],"")</f>
        <v>Safer Speeds</v>
      </c>
      <c r="I8" s="62" t="s">
        <v>48</v>
      </c>
      <c r="J8" s="1" t="str">
        <f>IF(_xlfn.XLOOKUP($C8,Table1[Countermeasure],Table1[Reduce Vehicle Speeds])="x","✓","")</f>
        <v>✓</v>
      </c>
      <c r="K8" s="62" t="s">
        <v>48</v>
      </c>
      <c r="L8" s="62" t="s">
        <v>48</v>
      </c>
      <c r="M8" s="23" t="str">
        <f>IF(OR(_xlfn.XLOOKUP($C8,Table1[Countermeasure],Table1[Signalized Intersection KSI (equity)])="x",_xlfn.XLOOKUP($C8,Table1[Countermeasure],Table1[Bike Crashes, No facility, midblock (equity)])="x",_xlfn.XLOOKUP($C8,Table1[Countermeasure],Table1[Local Intersection, Injury (equity)])="x",_xlfn.XLOOKUP($C8,Table1[Countermeasure],Table1[Posted Speed 40+ mph (equity)])="x"),"✓","")</f>
        <v>✓</v>
      </c>
      <c r="N8" s="2" t="str">
        <f>IF(NOT(ISERROR(SEARCH("CMF",_xlfn.XLOOKUP($C8,'CMF source, cost, effectiveness'!$A$2:$A$62,'CMF source, cost, effectiveness'!$G$2:$G$62)))),_xlfn.XLOOKUP($C8,'CMF source, cost, effectiveness'!$A$2:$A$62,'CMF source, cost, effectiveness'!$G$2:$G$62),"")</f>
        <v>CMF 7827</v>
      </c>
      <c r="O8" s="62" t="s">
        <v>48</v>
      </c>
      <c r="P8" s="62" t="s">
        <v>48</v>
      </c>
      <c r="Q8" s="62" t="s">
        <v>48</v>
      </c>
      <c r="R8" s="62" t="s">
        <v>48</v>
      </c>
      <c r="S8" s="62" t="s">
        <v>48</v>
      </c>
      <c r="T8" s="62" t="s">
        <v>48</v>
      </c>
      <c r="U8" s="31" t="str" cm="1">
        <f t="array" ref="U8">IF(_xlfn.XLOOKUP($C8,Table1[[Countermeasure]:[Countermeasure]],_xlfn.XLOOKUP('Overall Table'!U$1,Table1[[#Headers],[Bike Crashes, intersection turning conflicts]:[Speeding related vehicle crashes]],Table1[[Bike Crashes, intersection turning conflicts]:[Speeding related vehicle crashes]],""),"")="x","✓",IF(_xlfn.XLOOKUP($C8,Table1[Reduce Vehicle Speeds],_xlfn.XLOOKUP('Overall Table'!U$1,Table1[[#Headers],[Bike Crashes, intersection turning conflicts]:[Speeding related vehicle crashes]],Table1[[Bike Crashes, intersection turning conflicts]:[Speeding related vehicle crashes]],""),"")="o","O",""))</f>
        <v>✓</v>
      </c>
      <c r="V8" s="62" t="s">
        <v>48</v>
      </c>
      <c r="W8" s="31" t="str" cm="1">
        <f t="array" ref="W8">IF(_xlfn.XLOOKUP($C8,Table1[[Countermeasure]:[Countermeasure]],_xlfn.XLOOKUP('Overall Table'!W$1,Table1[[#Headers],[Bike Crashes, intersection turning conflicts]:[Speeding related vehicle crashes]],Table1[[Bike Crashes, intersection turning conflicts]:[Speeding related vehicle crashes]],""),"")="x","✓",IF(_xlfn.XLOOKUP($C8,Table1[Increase Attentiveness &amp; Awareness],_xlfn.XLOOKUP('Overall Table'!W$1,Table1[[#Headers],[Bike Crashes, intersection turning conflicts]:[Speeding related vehicle crashes]],Table1[[Bike Crashes, intersection turning conflicts]:[Speeding related vehicle crashes]],""),"")="o","O",""))</f>
        <v>✓</v>
      </c>
      <c r="X8" s="62" t="s">
        <v>48</v>
      </c>
      <c r="Y8" s="31" t="str" cm="1">
        <f t="array" ref="Y8">IF(_xlfn.XLOOKUP($C8,Table1[[Countermeasure]:[Countermeasure]],_xlfn.XLOOKUP('Overall Table'!Y$1,Table1[[#Headers],[Bike Crashes, intersection turning conflicts]:[Speeding related vehicle crashes]],Table1[[Bike Crashes, intersection turning conflicts]:[Speeding related vehicle crashes]],""),"")="x","✓",IF(_xlfn.XLOOKUP($C8,Table1[Category (FHWA)],_xlfn.XLOOKUP('Overall Table'!Y$1,Table1[[#Headers],[Bike Crashes, intersection turning conflicts]:[Speeding related vehicle crashes]],Table1[[Bike Crashes, intersection turning conflicts]:[Speeding related vehicle crashes]],""),"")="o","O",""))</f>
        <v>✓</v>
      </c>
      <c r="Z8" s="62" t="s">
        <v>48</v>
      </c>
      <c r="AA8" s="62" t="s">
        <v>48</v>
      </c>
      <c r="AB8" s="31" t="str" cm="1">
        <f t="array" ref="AB8">IF(_xlfn.XLOOKUP($C8,Table1[[Countermeasure]:[Countermeasure]],_xlfn.XLOOKUP('Overall Table'!AB$1,Table1[[#Headers],[Bike Crashes, intersection turning conflicts]:[Speeding related vehicle crashes]],Table1[[Bike Crashes, intersection turning conflicts]:[Speeding related vehicle crashes]],""),"")="x","✓",IF(_xlfn.XLOOKUP($C8,Table1[NCHRP 926],_xlfn.XLOOKUP('Overall Table'!AB$1,Table1[[#Headers],[Bike Crashes, intersection turning conflicts]:[Speeding related vehicle crashes]],Table1[[Bike Crashes, intersection turning conflicts]:[Speeding related vehicle crashes]],""),"")="o","O",""))</f>
        <v>✓</v>
      </c>
      <c r="AC8" s="31" t="str" cm="1">
        <f t="array" ref="AC8">IF(_xlfn.XLOOKUP($C8,Table1[[Countermeasure]:[Countermeasure]],_xlfn.XLOOKUP('Overall Table'!AC$1,Table1[[#Headers],[Bike Crashes, intersection turning conflicts]:[Speeding related vehicle crashes]],Table1[[Bike Crashes, intersection turning conflicts]:[Speeding related vehicle crashes]],""),"")="x","✓",IF(_xlfn.XLOOKUP($C8,Table1[NCHRP 1033],_xlfn.XLOOKUP('Overall Table'!AC$1,Table1[[#Headers],[Bike Crashes, intersection turning conflicts]:[Speeding related vehicle crashes]],Table1[[Bike Crashes, intersection turning conflicts]:[Speeding related vehicle crashes]],""),"")="o","O",""))</f>
        <v>✓</v>
      </c>
      <c r="AD8" s="62" t="s">
        <v>48</v>
      </c>
    </row>
    <row r="9" spans="1:30" ht="15" thickBot="1" x14ac:dyDescent="0.4">
      <c r="A9" s="32" t="str">
        <f>_xlfn.XLOOKUP(C9,Table1[Countermeasure],Table1[Category (FHWA)],"")</f>
        <v>Speed Management</v>
      </c>
      <c r="B9" s="36" t="str">
        <f>_xlfn.XLOOKUP(A9,'Data Validation'!$A$2:$A$6,'Data Validation'!$C$2:$C$6,"")&amp;"."&amp;COUNTIF('Overall Table'!$A$2:A9,'Overall Table'!A9)</f>
        <v>SM.8</v>
      </c>
      <c r="C9" s="33" t="str">
        <f>'CM attributes, relevance'!A9</f>
        <v>Transverse rumble strips</v>
      </c>
      <c r="D9" s="34"/>
      <c r="E9" s="35" t="str">
        <f>_xlfn.XLOOKUP(C9,'CMF source, cost, effectiveness'!$A$2:$A$101,'CMF source, cost, effectiveness'!$K$2:$K$101,"")</f>
        <v>Low</v>
      </c>
      <c r="F9" s="35" t="str">
        <f>_xlfn.XLOOKUP(C9,'CMF source, cost, effectiveness'!$A$2:$A$66,'CMF source, cost, effectiveness'!$M$2:$M$66,"")</f>
        <v>Less than 1 year</v>
      </c>
      <c r="G9" s="35" t="str">
        <f>_xlfn.XLOOKUP(C9,'CMF source, cost, effectiveness'!$A$2:$A$101,'CMF source, cost, effectiveness'!$L$2:$L$101,"")</f>
        <v>Documented</v>
      </c>
      <c r="H9" s="50" t="str">
        <f>_xlfn.XLOOKUP(C9,Table1[Countermeasure],Table1[Safe System Category],"")</f>
        <v>Safer Speeds</v>
      </c>
      <c r="I9" s="62" t="s">
        <v>48</v>
      </c>
      <c r="J9" s="62" t="s">
        <v>48</v>
      </c>
      <c r="K9" s="62" t="s">
        <v>48</v>
      </c>
      <c r="L9" s="1" t="str">
        <f>IF(_xlfn.XLOOKUP($C9,Table1[Countermeasure],Table1[Increase Attentiveness &amp; Awareness])="x","✓","")</f>
        <v>✓</v>
      </c>
      <c r="M9" s="23" t="str">
        <f>IF(OR(_xlfn.XLOOKUP($C9,Table1[Countermeasure],Table1[Signalized Intersection KSI (equity)])="x",_xlfn.XLOOKUP($C9,Table1[Countermeasure],Table1[Bike Crashes, No facility, midblock (equity)])="x",_xlfn.XLOOKUP($C9,Table1[Countermeasure],Table1[Local Intersection, Injury (equity)])="x",_xlfn.XLOOKUP($C9,Table1[Countermeasure],Table1[Posted Speed 40+ mph (equity)])="x"),"✓","")</f>
        <v>✓</v>
      </c>
      <c r="N9" s="2" t="str">
        <f>IF(NOT(ISERROR(SEARCH("CMF",_xlfn.XLOOKUP($C9,'CMF source, cost, effectiveness'!$A$2:$A$62,'CMF source, cost, effectiveness'!$G$2:$G$62)))),_xlfn.XLOOKUP($C9,'CMF source, cost, effectiveness'!$A$2:$A$62,'CMF source, cost, effectiveness'!$G$2:$G$62),"")</f>
        <v>CMF 9049</v>
      </c>
      <c r="O9" s="62" t="s">
        <v>48</v>
      </c>
      <c r="P9" s="62" t="s">
        <v>48</v>
      </c>
      <c r="Q9" s="62" t="s">
        <v>48</v>
      </c>
      <c r="R9" s="62" t="s">
        <v>48</v>
      </c>
      <c r="S9" s="62" t="s">
        <v>48</v>
      </c>
      <c r="T9" s="62" t="s">
        <v>48</v>
      </c>
      <c r="U9" s="62" t="s">
        <v>48</v>
      </c>
      <c r="V9" s="62" t="s">
        <v>48</v>
      </c>
      <c r="W9" s="62" t="s">
        <v>48</v>
      </c>
      <c r="X9" s="62" t="s">
        <v>48</v>
      </c>
      <c r="Y9" s="62" t="s">
        <v>48</v>
      </c>
      <c r="Z9" s="62" t="s">
        <v>48</v>
      </c>
      <c r="AA9" s="62" t="s">
        <v>48</v>
      </c>
      <c r="AB9" s="31" t="str" cm="1">
        <f t="array" ref="AB9">IF(_xlfn.XLOOKUP($C9,Table1[[Countermeasure]:[Countermeasure]],_xlfn.XLOOKUP('Overall Table'!AB$1,Table1[[#Headers],[Bike Crashes, intersection turning conflicts]:[Speeding related vehicle crashes]],Table1[[Bike Crashes, intersection turning conflicts]:[Speeding related vehicle crashes]],""),"")="x","✓",IF(_xlfn.XLOOKUP($C9,Table1[NCHRP 926],_xlfn.XLOOKUP('Overall Table'!AB$1,Table1[[#Headers],[Bike Crashes, intersection turning conflicts]:[Speeding related vehicle crashes]],Table1[[Bike Crashes, intersection turning conflicts]:[Speeding related vehicle crashes]],""),"")="o","O",""))</f>
        <v>✓</v>
      </c>
      <c r="AC9" s="31" t="str" cm="1">
        <f t="array" ref="AC9">IF(_xlfn.XLOOKUP($C9,Table1[[Countermeasure]:[Countermeasure]],_xlfn.XLOOKUP('Overall Table'!AC$1,Table1[[#Headers],[Bike Crashes, intersection turning conflicts]:[Speeding related vehicle crashes]],Table1[[Bike Crashes, intersection turning conflicts]:[Speeding related vehicle crashes]],""),"")="x","✓",IF(_xlfn.XLOOKUP($C9,Table1[NCHRP 1033],_xlfn.XLOOKUP('Overall Table'!AC$1,Table1[[#Headers],[Bike Crashes, intersection turning conflicts]:[Speeding related vehicle crashes]],Table1[[Bike Crashes, intersection turning conflicts]:[Speeding related vehicle crashes]],""),"")="o","O",""))</f>
        <v>✓</v>
      </c>
      <c r="AD9" s="62" t="s">
        <v>48</v>
      </c>
    </row>
    <row r="10" spans="1:30" ht="38" thickBot="1" x14ac:dyDescent="0.4">
      <c r="A10" s="32" t="str">
        <f>_xlfn.XLOOKUP(C10,Table1[Countermeasure],Table1[Category (FHWA)],"")</f>
        <v>Speed Management</v>
      </c>
      <c r="B10" s="36" t="str">
        <f>_xlfn.XLOOKUP(A10,'Data Validation'!$A$2:$A$6,'Data Validation'!$C$2:$C$6,"")&amp;"."&amp;COUNTIF('Overall Table'!$A$2:A10,'Overall Table'!A10)</f>
        <v>SM.9</v>
      </c>
      <c r="C10" s="33" t="str">
        <f>'CM attributes, relevance'!A10</f>
        <v>High Visibility Enforcement</v>
      </c>
      <c r="D10" s="34"/>
      <c r="E10" s="35" t="str">
        <f>_xlfn.XLOOKUP(C10,'CMF source, cost, effectiveness'!$A$2:$A$101,'CMF source, cost, effectiveness'!$K$2:$K$101,"")</f>
        <v>High</v>
      </c>
      <c r="F10" s="35" t="str">
        <f>_xlfn.XLOOKUP(C10,'CMF source, cost, effectiveness'!$A$2:$A$66,'CMF source, cost, effectiveness'!$M$2:$M$66,"")</f>
        <v>Less than 1 year</v>
      </c>
      <c r="G10" s="35" t="str">
        <f>_xlfn.XLOOKUP(C10,'CMF source, cost, effectiveness'!$A$2:$A$101,'CMF source, cost, effectiveness'!$L$2:$L$101,"")</f>
        <v>Documented</v>
      </c>
      <c r="H10" s="50" t="str">
        <f>_xlfn.XLOOKUP(C10,Table1[Countermeasure],Table1[Safe System Category],"")</f>
        <v>Safer People</v>
      </c>
      <c r="I10" s="62" t="s">
        <v>48</v>
      </c>
      <c r="J10" s="62" t="s">
        <v>48</v>
      </c>
      <c r="K10" s="62" t="s">
        <v>48</v>
      </c>
      <c r="L10" s="62" t="s">
        <v>48</v>
      </c>
      <c r="M10" s="62" t="s">
        <v>48</v>
      </c>
      <c r="N10" s="62" t="s">
        <v>48</v>
      </c>
      <c r="O10" s="62" t="s">
        <v>48</v>
      </c>
      <c r="P10" s="2" t="str">
        <f>IF((_xlfn.XLOOKUP($C10,Table1[Countermeasure],Table1[NHTSA Countermeasures that Work])="x"),"NHTSA Countermeasures that Work","")</f>
        <v>NHTSA Countermeasures that Work</v>
      </c>
      <c r="Q10" s="62" t="s">
        <v>48</v>
      </c>
      <c r="R10" s="62" t="s">
        <v>48</v>
      </c>
      <c r="S10" s="62" t="s">
        <v>48</v>
      </c>
      <c r="T10" s="62" t="s">
        <v>48</v>
      </c>
      <c r="U10" s="62" t="s">
        <v>48</v>
      </c>
      <c r="V10" s="62" t="s">
        <v>48</v>
      </c>
      <c r="W10" s="62" t="s">
        <v>48</v>
      </c>
      <c r="X10" s="62" t="s">
        <v>48</v>
      </c>
      <c r="Y10" s="62" t="s">
        <v>48</v>
      </c>
      <c r="Z10" s="62" t="s">
        <v>48</v>
      </c>
      <c r="AA10" s="62" t="s">
        <v>48</v>
      </c>
      <c r="AB10" s="62" t="s">
        <v>48</v>
      </c>
      <c r="AC10" s="31" t="str" cm="1">
        <f t="array" ref="AC10">IF(_xlfn.XLOOKUP($C10,Table1[[Countermeasure]:[Countermeasure]],_xlfn.XLOOKUP('Overall Table'!AC$1,Table1[[#Headers],[Bike Crashes, intersection turning conflicts]:[Speeding related vehicle crashes]],Table1[[Bike Crashes, intersection turning conflicts]:[Speeding related vehicle crashes]],""),"")="x","✓",IF(_xlfn.XLOOKUP($C10,Table1[NCHRP 1033],_xlfn.XLOOKUP('Overall Table'!AC$1,Table1[[#Headers],[Bike Crashes, intersection turning conflicts]:[Speeding related vehicle crashes]],Table1[[Bike Crashes, intersection turning conflicts]:[Speeding related vehicle crashes]],""),"")="o","O",""))</f>
        <v>✓</v>
      </c>
      <c r="AD10" s="62" t="s">
        <v>48</v>
      </c>
    </row>
    <row r="11" spans="1:30" ht="38" thickBot="1" x14ac:dyDescent="0.4">
      <c r="A11" s="32" t="str">
        <f>_xlfn.XLOOKUP(C11,Table1[Countermeasure],Table1[Category (FHWA)],"")</f>
        <v>Speed Management</v>
      </c>
      <c r="B11" s="36" t="str">
        <f>_xlfn.XLOOKUP(A11,'Data Validation'!$A$2:$A$6,'Data Validation'!$C$2:$C$6,"")&amp;"."&amp;COUNTIF('Overall Table'!$A$2:A11,'Overall Table'!A11)</f>
        <v>SM.10</v>
      </c>
      <c r="C11" s="33" t="str">
        <f>'CM attributes, relevance'!A11</f>
        <v>Intelligent Speed Assistance</v>
      </c>
      <c r="D11" s="34"/>
      <c r="E11" s="35" t="str">
        <f>_xlfn.XLOOKUP(C11,'CMF source, cost, effectiveness'!$A$2:$A$101,'CMF source, cost, effectiveness'!$K$2:$K$101,"")</f>
        <v>Moderate</v>
      </c>
      <c r="F11" s="35" t="str">
        <f>_xlfn.XLOOKUP(C11,'CMF source, cost, effectiveness'!$A$2:$A$66,'CMF source, cost, effectiveness'!$M$2:$M$66,"")</f>
        <v>More than 2 years</v>
      </c>
      <c r="G11" s="35" t="str">
        <f>_xlfn.XLOOKUP(C11,'CMF source, cost, effectiveness'!$A$2:$A$101,'CMF source, cost, effectiveness'!$L$2:$L$101,"")</f>
        <v>Tried</v>
      </c>
      <c r="H11" s="50" t="str">
        <f>_xlfn.XLOOKUP(C11,Table1[Countermeasure],Table1[Safe System Category],"")</f>
        <v>Safer Vehicles</v>
      </c>
      <c r="I11" s="62" t="s">
        <v>48</v>
      </c>
      <c r="J11" s="62" t="s">
        <v>48</v>
      </c>
      <c r="K11" s="62" t="s">
        <v>48</v>
      </c>
      <c r="L11" s="62" t="s">
        <v>48</v>
      </c>
      <c r="M11" s="62" t="s">
        <v>48</v>
      </c>
      <c r="N11" s="62" t="s">
        <v>48</v>
      </c>
      <c r="O11" s="62" t="s">
        <v>48</v>
      </c>
      <c r="P11" s="2" t="str">
        <f>IF((_xlfn.XLOOKUP($C11,Table1[Countermeasure],Table1[NHTSA Countermeasures that Work])="x"),"NHTSA Countermeasures that Work","")</f>
        <v>NHTSA Countermeasures that Work</v>
      </c>
      <c r="Q11" s="62" t="s">
        <v>48</v>
      </c>
      <c r="R11" s="62" t="s">
        <v>48</v>
      </c>
      <c r="S11" s="62" t="s">
        <v>48</v>
      </c>
      <c r="T11" s="62" t="s">
        <v>48</v>
      </c>
      <c r="U11" s="62" t="s">
        <v>48</v>
      </c>
      <c r="V11" s="62" t="s">
        <v>48</v>
      </c>
      <c r="W11" s="62" t="s">
        <v>48</v>
      </c>
      <c r="X11" s="62" t="s">
        <v>48</v>
      </c>
      <c r="Y11" s="62" t="s">
        <v>48</v>
      </c>
      <c r="Z11" s="62" t="s">
        <v>48</v>
      </c>
      <c r="AA11" s="62" t="s">
        <v>48</v>
      </c>
      <c r="AB11" s="62" t="s">
        <v>48</v>
      </c>
      <c r="AC11" s="31" t="str" cm="1">
        <f t="array" ref="AC11">IF(_xlfn.XLOOKUP($C11,Table1[[Countermeasure]:[Countermeasure]],_xlfn.XLOOKUP('Overall Table'!AC$1,Table1[[#Headers],[Bike Crashes, intersection turning conflicts]:[Speeding related vehicle crashes]],Table1[[Bike Crashes, intersection turning conflicts]:[Speeding related vehicle crashes]],""),"")="x","✓",IF(_xlfn.XLOOKUP($C11,Table1[NCHRP 1033],_xlfn.XLOOKUP('Overall Table'!AC$1,Table1[[#Headers],[Bike Crashes, intersection turning conflicts]:[Speeding related vehicle crashes]],Table1[[Bike Crashes, intersection turning conflicts]:[Speeding related vehicle crashes]],""),"")="o","O",""))</f>
        <v>✓</v>
      </c>
      <c r="AD11" s="62" t="s">
        <v>48</v>
      </c>
    </row>
    <row r="12" spans="1:30" ht="28.5" thickBot="1" x14ac:dyDescent="0.4">
      <c r="A12" s="32" t="str">
        <f>_xlfn.XLOOKUP(C12,Table1[Countermeasure],Table1[Category (FHWA)],"")</f>
        <v>Pedestrian and Bicyclist</v>
      </c>
      <c r="B12" s="36" t="str">
        <f>_xlfn.XLOOKUP(A12,'Data Validation'!$A$2:$A$6,'Data Validation'!$C$2:$C$6,"")&amp;"."&amp;COUNTIF('Overall Table'!$A$2:A12,'Overall Table'!A12)</f>
        <v>BP.1</v>
      </c>
      <c r="C12" s="33" t="str">
        <f>'CM attributes, relevance'!A12</f>
        <v>Protected intersections</v>
      </c>
      <c r="D12" s="34"/>
      <c r="E12" s="35" t="str">
        <f>_xlfn.XLOOKUP(C12,'CMF source, cost, effectiveness'!$A$2:$A$101,'CMF source, cost, effectiveness'!$K$2:$K$101,"")</f>
        <v>High</v>
      </c>
      <c r="F12" s="35" t="str">
        <f>_xlfn.XLOOKUP(C12,'CMF source, cost, effectiveness'!$A$2:$A$66,'CMF source, cost, effectiveness'!$M$2:$M$66,"")</f>
        <v>More than 2 years</v>
      </c>
      <c r="G12" s="35" t="str">
        <f>_xlfn.XLOOKUP(C12,'CMF source, cost, effectiveness'!$A$2:$A$101,'CMF source, cost, effectiveness'!$L$2:$L$101,"")</f>
        <v>Documented</v>
      </c>
      <c r="H12" s="50" t="str">
        <f>_xlfn.XLOOKUP(C12,Table1[Countermeasure],Table1[Safe System Category],"")</f>
        <v>Safer Roads</v>
      </c>
      <c r="I12" s="1" t="str">
        <f>IF(_xlfn.XLOOKUP($C12,Table1[Countermeasure],Table1[Remove Severe Conflicts])="x","✓","")</f>
        <v>✓</v>
      </c>
      <c r="J12" s="1" t="str">
        <f>IF(_xlfn.XLOOKUP($C12,Table1[Countermeasure],Table1[Reduce Vehicle Speeds])="x","✓","")</f>
        <v>✓</v>
      </c>
      <c r="K12" s="62" t="s">
        <v>48</v>
      </c>
      <c r="L12" s="62" t="s">
        <v>48</v>
      </c>
      <c r="M12" s="23" t="str">
        <f>IF(OR(_xlfn.XLOOKUP($C12,Table1[Countermeasure],Table1[Signalized Intersection KSI (equity)])="x",_xlfn.XLOOKUP($C12,Table1[Countermeasure],Table1[Bike Crashes, No facility, midblock (equity)])="x",_xlfn.XLOOKUP($C12,Table1[Countermeasure],Table1[Local Intersection, Injury (equity)])="x",_xlfn.XLOOKUP($C12,Table1[Countermeasure],Table1[Posted Speed 40+ mph (equity)])="x"),"✓","")</f>
        <v>✓</v>
      </c>
      <c r="N12" s="62" t="s">
        <v>48</v>
      </c>
      <c r="O12" s="62" t="s">
        <v>48</v>
      </c>
      <c r="P12" s="62" t="s">
        <v>48</v>
      </c>
      <c r="Q12" s="62" t="s">
        <v>48</v>
      </c>
      <c r="R12" s="2" t="str">
        <f>IF(_xlfn.XLOOKUP($C12,Table1[Countermeasure],Table1[NCHRP 926])="x","NCHRP 926","")</f>
        <v>NCHRP 926</v>
      </c>
      <c r="S12" s="30" t="str" cm="1">
        <f t="array" ref="S12">IF(_xlfn.XLOOKUP($C12,Table1[[Countermeasure]:[Countermeasure]],_xlfn.XLOOKUP('Overall Table'!S$1,Table1[[#Headers],[Bike Crashes, intersection turning conflicts]:[Speeding related vehicle crashes]],Table1[[Bike Crashes, intersection turning conflicts]:[Speeding related vehicle crashes]],""),"")="x","✓",IF(_xlfn.XLOOKUP($C12,Table1[Countermeasure],_xlfn.XLOOKUP('Overall Table'!S$1,Table1[[#Headers],[Bike Crashes, intersection turning conflicts]:[Speeding related vehicle crashes]],Table1[[Bike Crashes, intersection turning conflicts]:[Speeding related vehicle crashes]],""),"")="o","O",""))</f>
        <v>✓</v>
      </c>
      <c r="T12" s="31" t="str" cm="1">
        <f t="array" ref="T12">IF(_xlfn.XLOOKUP($C12,Table1[[Countermeasure]:[Countermeasure]],_xlfn.XLOOKUP('Overall Table'!T$1,Table1[[#Headers],[Bike Crashes, intersection turning conflicts]:[Speeding related vehicle crashes]],Table1[[Bike Crashes, intersection turning conflicts]:[Speeding related vehicle crashes]],""),"")="x","✓",IF(_xlfn.XLOOKUP($C12,Table1[Remove Severe Conflicts],_xlfn.XLOOKUP('Overall Table'!T$1,Table1[[#Headers],[Bike Crashes, intersection turning conflicts]:[Speeding related vehicle crashes]],Table1[[Bike Crashes, intersection turning conflicts]:[Speeding related vehicle crashes]],""),"")="o","O",""))</f>
        <v>✓</v>
      </c>
      <c r="U12" s="62" t="s">
        <v>48</v>
      </c>
      <c r="V12" s="31" t="str" cm="1">
        <f t="array" ref="V12">IF(_xlfn.XLOOKUP($C12,Table1[[Countermeasure]:[Countermeasure]],_xlfn.XLOOKUP('Overall Table'!V$1,Table1[[#Headers],[Bike Crashes, intersection turning conflicts]:[Speeding related vehicle crashes]],Table1[[Bike Crashes, intersection turning conflicts]:[Speeding related vehicle crashes]],""),"")="x","✓",IF(_xlfn.XLOOKUP($C12,Table1[Manage Conflicts in Time],_xlfn.XLOOKUP('Overall Table'!V$1,Table1[[#Headers],[Bike Crashes, intersection turning conflicts]:[Speeding related vehicle crashes]],Table1[[Bike Crashes, intersection turning conflicts]:[Speeding related vehicle crashes]],""),"")="o","O",""))</f>
        <v>✓</v>
      </c>
      <c r="W12" s="62" t="s">
        <v>48</v>
      </c>
      <c r="X12" s="31" t="str" cm="1">
        <f t="array" ref="X12">IF(_xlfn.XLOOKUP($C12,Table1[[Countermeasure]:[Countermeasure]],_xlfn.XLOOKUP('Overall Table'!X$1,Table1[[#Headers],[Bike Crashes, intersection turning conflicts]:[Speeding related vehicle crashes]],Table1[[Bike Crashes, intersection turning conflicts]:[Speeding related vehicle crashes]],""),"")="x","✓",IF(_xlfn.XLOOKUP($C12,Table1[FHWA helper],_xlfn.XLOOKUP('Overall Table'!X$1,Table1[[#Headers],[Bike Crashes, intersection turning conflicts]:[Speeding related vehicle crashes]],Table1[[Bike Crashes, intersection turning conflicts]:[Speeding related vehicle crashes]],""),"")="o","O",""))</f>
        <v>✓</v>
      </c>
      <c r="Y12" s="31" t="str" cm="1">
        <f t="array" ref="Y12">IF(_xlfn.XLOOKUP($C12,Table1[[Countermeasure]:[Countermeasure]],_xlfn.XLOOKUP('Overall Table'!Y$1,Table1[[#Headers],[Bike Crashes, intersection turning conflicts]:[Speeding related vehicle crashes]],Table1[[Bike Crashes, intersection turning conflicts]:[Speeding related vehicle crashes]],""),"")="x","✓",IF(_xlfn.XLOOKUP($C12,Table1[Category (FHWA)],_xlfn.XLOOKUP('Overall Table'!Y$1,Table1[[#Headers],[Bike Crashes, intersection turning conflicts]:[Speeding related vehicle crashes]],Table1[[Bike Crashes, intersection turning conflicts]:[Speeding related vehicle crashes]],""),"")="o","O",""))</f>
        <v>✓</v>
      </c>
      <c r="Z12" s="31" t="str" cm="1">
        <f t="array" ref="Z12">IF(_xlfn.XLOOKUP($C12,Table1[[Countermeasure]:[Countermeasure]],_xlfn.XLOOKUP('Overall Table'!Z$1,Table1[[#Headers],[Bike Crashes, intersection turning conflicts]:[Speeding related vehicle crashes]],Table1[[Bike Crashes, intersection turning conflicts]:[Speeding related vehicle crashes]],""),"")="x","✓",IF(_xlfn.XLOOKUP($C12,Table1[Proven Safety Countermeasure],_xlfn.XLOOKUP('Overall Table'!Z$1,Table1[[#Headers],[Bike Crashes, intersection turning conflicts]:[Speeding related vehicle crashes]],Table1[[Bike Crashes, intersection turning conflicts]:[Speeding related vehicle crashes]],""),"")="o","O",""))</f>
        <v>✓</v>
      </c>
      <c r="AA12" s="31" t="str" cm="1">
        <f t="array" ref="AA12">IF(_xlfn.XLOOKUP($C12,Table1[[Countermeasure]:[Countermeasure]],_xlfn.XLOOKUP('Overall Table'!AA$1,Table1[[#Headers],[Bike Crashes, intersection turning conflicts]:[Speeding related vehicle crashes]],Table1[[Bike Crashes, intersection turning conflicts]:[Speeding related vehicle crashes]],""),"")="x","✓",IF(_xlfn.XLOOKUP($C12,Table1[MnDOT District Roadway Safety "Big Book of Ideas"],_xlfn.XLOOKUP('Overall Table'!AA$1,Table1[[#Headers],[Bike Crashes, intersection turning conflicts]:[Speeding related vehicle crashes]],Table1[[Bike Crashes, intersection turning conflicts]:[Speeding related vehicle crashes]],""),"")="o","O",""))</f>
        <v>✓</v>
      </c>
      <c r="AB12" s="62" t="s">
        <v>48</v>
      </c>
      <c r="AC12" s="62" t="s">
        <v>48</v>
      </c>
      <c r="AD12" s="62" t="s">
        <v>48</v>
      </c>
    </row>
    <row r="13" spans="1:30" ht="28.5" thickBot="1" x14ac:dyDescent="0.4">
      <c r="A13" s="32" t="str">
        <f>_xlfn.XLOOKUP(C13,Table1[Countermeasure],Table1[Category (FHWA)],"")</f>
        <v>Pedestrian and Bicyclist</v>
      </c>
      <c r="B13" s="36" t="str">
        <f>_xlfn.XLOOKUP(A13,'Data Validation'!$A$2:$A$6,'Data Validation'!$C$2:$C$6,"")&amp;"."&amp;COUNTIF('Overall Table'!$A$2:A13,'Overall Table'!A13)</f>
        <v>BP.2</v>
      </c>
      <c r="C13" s="33" t="str">
        <f>'CM attributes, relevance'!A13</f>
        <v>Roadway reconfiguration or lane reduction</v>
      </c>
      <c r="D13" s="34"/>
      <c r="E13" s="35" t="str">
        <f>_xlfn.XLOOKUP(C13,'CMF source, cost, effectiveness'!$A$2:$A$101,'CMF source, cost, effectiveness'!$K$2:$K$101,"")</f>
        <v>Moderate</v>
      </c>
      <c r="F13" s="35" t="str">
        <f>_xlfn.XLOOKUP(C13,'CMF source, cost, effectiveness'!$A$2:$A$66,'CMF source, cost, effectiveness'!$M$2:$M$66,"")</f>
        <v>1 - 2 years</v>
      </c>
      <c r="G13" s="35" t="str">
        <f>_xlfn.XLOOKUP(C13,'CMF source, cost, effectiveness'!$A$2:$A$101,'CMF source, cost, effectiveness'!$L$2:$L$101,"")</f>
        <v>Proven</v>
      </c>
      <c r="H13" s="50" t="str">
        <f>_xlfn.XLOOKUP(C13,Table1[Countermeasure],Table1[Safe System Category],"")</f>
        <v>Safer Roads</v>
      </c>
      <c r="I13" s="1" t="str">
        <f>IF(_xlfn.XLOOKUP($C13,Table1[Countermeasure],Table1[Remove Severe Conflicts])="x","✓","")</f>
        <v>✓</v>
      </c>
      <c r="J13" s="1" t="str">
        <f>IF(_xlfn.XLOOKUP($C13,Table1[Countermeasure],Table1[Reduce Vehicle Speeds])="x","✓","")</f>
        <v>✓</v>
      </c>
      <c r="K13" s="62" t="s">
        <v>48</v>
      </c>
      <c r="L13" s="62" t="s">
        <v>48</v>
      </c>
      <c r="M13" s="23" t="str">
        <f>IF(OR(_xlfn.XLOOKUP($C13,Table1[Countermeasure],Table1[Signalized Intersection KSI (equity)])="x",_xlfn.XLOOKUP($C13,Table1[Countermeasure],Table1[Bike Crashes, No facility, midblock (equity)])="x",_xlfn.XLOOKUP($C13,Table1[Countermeasure],Table1[Local Intersection, Injury (equity)])="x",_xlfn.XLOOKUP($C13,Table1[Countermeasure],Table1[Posted Speed 40+ mph (equity)])="x"),"✓","")</f>
        <v>✓</v>
      </c>
      <c r="N13" s="2" t="str">
        <f>IF(NOT(ISERROR(SEARCH("CMF",_xlfn.XLOOKUP($C13,'CMF source, cost, effectiveness'!$A$2:$A$62,'CMF source, cost, effectiveness'!$G$2:$G$62)))),_xlfn.XLOOKUP($C13,'CMF source, cost, effectiveness'!$A$2:$A$62,'CMF source, cost, effectiveness'!$G$2:$G$62),"")</f>
        <v>CMF 11129</v>
      </c>
      <c r="O13" s="2" t="str">
        <f>IF(_xlfn.XLOOKUP($C13,Table1[Countermeasure],Table1[Proven Safety Countermeasure])="x","Proven Safety Countermeasures","")</f>
        <v>Proven Safety Countermeasures</v>
      </c>
      <c r="P13" s="62" t="s">
        <v>48</v>
      </c>
      <c r="Q13" s="62" t="s">
        <v>48</v>
      </c>
      <c r="R13" s="2" t="str">
        <f>IF(_xlfn.XLOOKUP($C13,Table1[Countermeasure],Table1[NCHRP 926])="x","NCHRP 926","")</f>
        <v>NCHRP 926</v>
      </c>
      <c r="S13" s="30" t="str" cm="1">
        <f t="array" ref="S13">IF(_xlfn.XLOOKUP($C13,Table1[[Countermeasure]:[Countermeasure]],_xlfn.XLOOKUP('Overall Table'!S$1,Table1[[#Headers],[Bike Crashes, intersection turning conflicts]:[Speeding related vehicle crashes]],Table1[[Bike Crashes, intersection turning conflicts]:[Speeding related vehicle crashes]],""),"")="x","✓",IF(_xlfn.XLOOKUP($C13,Table1[Countermeasure],_xlfn.XLOOKUP('Overall Table'!S$1,Table1[[#Headers],[Bike Crashes, intersection turning conflicts]:[Speeding related vehicle crashes]],Table1[[Bike Crashes, intersection turning conflicts]:[Speeding related vehicle crashes]],""),"")="o","O",""))</f>
        <v>✓</v>
      </c>
      <c r="T13" s="62" t="s">
        <v>48</v>
      </c>
      <c r="U13" s="31" t="str" cm="1">
        <f t="array" ref="U13">IF(_xlfn.XLOOKUP($C13,Table1[[Countermeasure]:[Countermeasure]],_xlfn.XLOOKUP('Overall Table'!U$1,Table1[[#Headers],[Bike Crashes, intersection turning conflicts]:[Speeding related vehicle crashes]],Table1[[Bike Crashes, intersection turning conflicts]:[Speeding related vehicle crashes]],""),"")="x","✓",IF(_xlfn.XLOOKUP($C13,Table1[Reduce Vehicle Speeds],_xlfn.XLOOKUP('Overall Table'!U$1,Table1[[#Headers],[Bike Crashes, intersection turning conflicts]:[Speeding related vehicle crashes]],Table1[[Bike Crashes, intersection turning conflicts]:[Speeding related vehicle crashes]],""),"")="o","O",""))</f>
        <v>✓</v>
      </c>
      <c r="V13" s="62" t="s">
        <v>48</v>
      </c>
      <c r="W13" s="31" t="str" cm="1">
        <f t="array" ref="W13">IF(_xlfn.XLOOKUP($C13,Table1[[Countermeasure]:[Countermeasure]],_xlfn.XLOOKUP('Overall Table'!W$1,Table1[[#Headers],[Bike Crashes, intersection turning conflicts]:[Speeding related vehicle crashes]],Table1[[Bike Crashes, intersection turning conflicts]:[Speeding related vehicle crashes]],""),"")="x","✓",IF(_xlfn.XLOOKUP($C13,Table1[Increase Attentiveness &amp; Awareness],_xlfn.XLOOKUP('Overall Table'!W$1,Table1[[#Headers],[Bike Crashes, intersection turning conflicts]:[Speeding related vehicle crashes]],Table1[[Bike Crashes, intersection turning conflicts]:[Speeding related vehicle crashes]],""),"")="o","O",""))</f>
        <v>✓</v>
      </c>
      <c r="X13" s="31" t="str" cm="1">
        <f t="array" ref="X13">IF(_xlfn.XLOOKUP($C13,Table1[[Countermeasure]:[Countermeasure]],_xlfn.XLOOKUP('Overall Table'!X$1,Table1[[#Headers],[Bike Crashes, intersection turning conflicts]:[Speeding related vehicle crashes]],Table1[[Bike Crashes, intersection turning conflicts]:[Speeding related vehicle crashes]],""),"")="x","✓",IF(_xlfn.XLOOKUP($C13,Table1[FHWA helper],_xlfn.XLOOKUP('Overall Table'!X$1,Table1[[#Headers],[Bike Crashes, intersection turning conflicts]:[Speeding related vehicle crashes]],Table1[[Bike Crashes, intersection turning conflicts]:[Speeding related vehicle crashes]],""),"")="o","O",""))</f>
        <v>✓</v>
      </c>
      <c r="Y13" s="31" t="str" cm="1">
        <f t="array" ref="Y13">IF(_xlfn.XLOOKUP($C13,Table1[[Countermeasure]:[Countermeasure]],_xlfn.XLOOKUP('Overall Table'!Y$1,Table1[[#Headers],[Bike Crashes, intersection turning conflicts]:[Speeding related vehicle crashes]],Table1[[Bike Crashes, intersection turning conflicts]:[Speeding related vehicle crashes]],""),"")="x","✓",IF(_xlfn.XLOOKUP($C13,Table1[Category (FHWA)],_xlfn.XLOOKUP('Overall Table'!Y$1,Table1[[#Headers],[Bike Crashes, intersection turning conflicts]:[Speeding related vehicle crashes]],Table1[[Bike Crashes, intersection turning conflicts]:[Speeding related vehicle crashes]],""),"")="o","O",""))</f>
        <v>✓</v>
      </c>
      <c r="Z13" s="62" t="s">
        <v>48</v>
      </c>
      <c r="AA13" s="31" t="str" cm="1">
        <f t="array" ref="AA13">IF(_xlfn.XLOOKUP($C13,Table1[[Countermeasure]:[Countermeasure]],_xlfn.XLOOKUP('Overall Table'!AA$1,Table1[[#Headers],[Bike Crashes, intersection turning conflicts]:[Speeding related vehicle crashes]],Table1[[Bike Crashes, intersection turning conflicts]:[Speeding related vehicle crashes]],""),"")="x","✓",IF(_xlfn.XLOOKUP($C13,Table1[MnDOT District Roadway Safety "Big Book of Ideas"],_xlfn.XLOOKUP('Overall Table'!AA$1,Table1[[#Headers],[Bike Crashes, intersection turning conflicts]:[Speeding related vehicle crashes]],Table1[[Bike Crashes, intersection turning conflicts]:[Speeding related vehicle crashes]],""),"")="o","O",""))</f>
        <v>✓</v>
      </c>
      <c r="AB13" s="62" t="s">
        <v>48</v>
      </c>
      <c r="AC13" s="62" t="s">
        <v>48</v>
      </c>
      <c r="AD13" s="62" t="s">
        <v>48</v>
      </c>
    </row>
    <row r="14" spans="1:30" ht="28.5" thickBot="1" x14ac:dyDescent="0.4">
      <c r="A14" s="32" t="str">
        <f>_xlfn.XLOOKUP(C14,Table1[Countermeasure],Table1[Category (FHWA)],"")</f>
        <v>Pedestrian and Bicyclist</v>
      </c>
      <c r="B14" s="36" t="str">
        <f>_xlfn.XLOOKUP(A14,'Data Validation'!$A$2:$A$6,'Data Validation'!$C$2:$C$6,"")&amp;"."&amp;COUNTIF('Overall Table'!$A$2:A14,'Overall Table'!A14)</f>
        <v>BP.3</v>
      </c>
      <c r="C14" s="33" t="str">
        <f>'CM attributes, relevance'!A14</f>
        <v>Refuge island</v>
      </c>
      <c r="D14" s="34"/>
      <c r="E14" s="35" t="str">
        <f>_xlfn.XLOOKUP(C14,'CMF source, cost, effectiveness'!$A$2:$A$101,'CMF source, cost, effectiveness'!$K$2:$K$101,"")</f>
        <v>Low</v>
      </c>
      <c r="F14" s="35" t="str">
        <f>_xlfn.XLOOKUP(C14,'CMF source, cost, effectiveness'!$A$2:$A$66,'CMF source, cost, effectiveness'!$M$2:$M$66,"")</f>
        <v>1 - 2 years</v>
      </c>
      <c r="G14" s="35" t="str">
        <f>_xlfn.XLOOKUP(C14,'CMF source, cost, effectiveness'!$A$2:$A$101,'CMF source, cost, effectiveness'!$L$2:$L$101,"")</f>
        <v>Proven</v>
      </c>
      <c r="H14" s="50" t="str">
        <f>_xlfn.XLOOKUP(C14,Table1[Countermeasure],Table1[Safe System Category],"")</f>
        <v>Safer Roads</v>
      </c>
      <c r="I14" s="1" t="str">
        <f>IF(_xlfn.XLOOKUP($C14,Table1[Countermeasure],Table1[Remove Severe Conflicts])="x","✓","")</f>
        <v>✓</v>
      </c>
      <c r="J14" s="1" t="str">
        <f>IF(_xlfn.XLOOKUP($C14,Table1[Countermeasure],Table1[Reduce Vehicle Speeds])="x","✓","")</f>
        <v>✓</v>
      </c>
      <c r="K14" s="62" t="s">
        <v>48</v>
      </c>
      <c r="L14" s="62" t="s">
        <v>48</v>
      </c>
      <c r="M14" s="23" t="str">
        <f>IF(OR(_xlfn.XLOOKUP($C14,Table1[Countermeasure],Table1[Signalized Intersection KSI (equity)])="x",_xlfn.XLOOKUP($C14,Table1[Countermeasure],Table1[Bike Crashes, No facility, midblock (equity)])="x",_xlfn.XLOOKUP($C14,Table1[Countermeasure],Table1[Local Intersection, Injury (equity)])="x",_xlfn.XLOOKUP($C14,Table1[Countermeasure],Table1[Posted Speed 40+ mph (equity)])="x"),"✓","")</f>
        <v>✓</v>
      </c>
      <c r="N14" s="2" t="str">
        <f>IF(NOT(ISERROR(SEARCH("CMF",_xlfn.XLOOKUP($C14,'CMF source, cost, effectiveness'!$A$2:$A$62,'CMF source, cost, effectiveness'!$G$2:$G$62)))),_xlfn.XLOOKUP($C14,'CMF source, cost, effectiveness'!$A$2:$A$62,'CMF source, cost, effectiveness'!$G$2:$G$62),"")</f>
        <v>CMF 9121</v>
      </c>
      <c r="O14" s="2" t="str">
        <f>IF(_xlfn.XLOOKUP($C14,Table1[Countermeasure],Table1[Proven Safety Countermeasure])="x","Proven Safety Countermeasures","")</f>
        <v>Proven Safety Countermeasures</v>
      </c>
      <c r="P14" s="62" t="s">
        <v>48</v>
      </c>
      <c r="Q14" s="62" t="s">
        <v>48</v>
      </c>
      <c r="R14" s="2" t="str">
        <f>IF(_xlfn.XLOOKUP($C14,Table1[Countermeasure],Table1[NCHRP 926])="x","NCHRP 926","")</f>
        <v>NCHRP 926</v>
      </c>
      <c r="S14" s="62" t="s">
        <v>48</v>
      </c>
      <c r="T14" s="62" t="s">
        <v>48</v>
      </c>
      <c r="U14" s="62" t="s">
        <v>48</v>
      </c>
      <c r="V14" s="62" t="s">
        <v>48</v>
      </c>
      <c r="W14" s="62" t="s">
        <v>48</v>
      </c>
      <c r="X14" s="31" t="str" cm="1">
        <f t="array" ref="X14">IF(_xlfn.XLOOKUP($C14,Table1[[Countermeasure]:[Countermeasure]],_xlfn.XLOOKUP('Overall Table'!X$1,Table1[[#Headers],[Bike Crashes, intersection turning conflicts]:[Speeding related vehicle crashes]],Table1[[Bike Crashes, intersection turning conflicts]:[Speeding related vehicle crashes]],""),"")="x","✓",IF(_xlfn.XLOOKUP($C14,Table1[FHWA helper],_xlfn.XLOOKUP('Overall Table'!X$1,Table1[[#Headers],[Bike Crashes, intersection turning conflicts]:[Speeding related vehicle crashes]],Table1[[Bike Crashes, intersection turning conflicts]:[Speeding related vehicle crashes]],""),"")="o","O",""))</f>
        <v>✓</v>
      </c>
      <c r="Y14" s="31" t="str" cm="1">
        <f t="array" ref="Y14">IF(_xlfn.XLOOKUP($C14,Table1[[Countermeasure]:[Countermeasure]],_xlfn.XLOOKUP('Overall Table'!Y$1,Table1[[#Headers],[Bike Crashes, intersection turning conflicts]:[Speeding related vehicle crashes]],Table1[[Bike Crashes, intersection turning conflicts]:[Speeding related vehicle crashes]],""),"")="x","✓",IF(_xlfn.XLOOKUP($C14,Table1[Category (FHWA)],_xlfn.XLOOKUP('Overall Table'!Y$1,Table1[[#Headers],[Bike Crashes, intersection turning conflicts]:[Speeding related vehicle crashes]],Table1[[Bike Crashes, intersection turning conflicts]:[Speeding related vehicle crashes]],""),"")="o","O",""))</f>
        <v>✓</v>
      </c>
      <c r="Z14" s="31" t="str" cm="1">
        <f t="array" ref="Z14">IF(_xlfn.XLOOKUP($C14,Table1[[Countermeasure]:[Countermeasure]],_xlfn.XLOOKUP('Overall Table'!Z$1,Table1[[#Headers],[Bike Crashes, intersection turning conflicts]:[Speeding related vehicle crashes]],Table1[[Bike Crashes, intersection turning conflicts]:[Speeding related vehicle crashes]],""),"")="x","✓",IF(_xlfn.XLOOKUP($C14,Table1[Proven Safety Countermeasure],_xlfn.XLOOKUP('Overall Table'!Z$1,Table1[[#Headers],[Bike Crashes, intersection turning conflicts]:[Speeding related vehicle crashes]],Table1[[Bike Crashes, intersection turning conflicts]:[Speeding related vehicle crashes]],""),"")="o","O",""))</f>
        <v>✓</v>
      </c>
      <c r="AA14" s="31" t="str" cm="1">
        <f t="array" ref="AA14">IF(_xlfn.XLOOKUP($C14,Table1[[Countermeasure]:[Countermeasure]],_xlfn.XLOOKUP('Overall Table'!AA$1,Table1[[#Headers],[Bike Crashes, intersection turning conflicts]:[Speeding related vehicle crashes]],Table1[[Bike Crashes, intersection turning conflicts]:[Speeding related vehicle crashes]],""),"")="x","✓",IF(_xlfn.XLOOKUP($C14,Table1[MnDOT District Roadway Safety "Big Book of Ideas"],_xlfn.XLOOKUP('Overall Table'!AA$1,Table1[[#Headers],[Bike Crashes, intersection turning conflicts]:[Speeding related vehicle crashes]],Table1[[Bike Crashes, intersection turning conflicts]:[Speeding related vehicle crashes]],""),"")="o","O",""))</f>
        <v>✓</v>
      </c>
      <c r="AB14" s="62" t="s">
        <v>48</v>
      </c>
      <c r="AC14" s="62" t="s">
        <v>48</v>
      </c>
      <c r="AD14" s="62" t="s">
        <v>48</v>
      </c>
    </row>
    <row r="15" spans="1:30" ht="38" thickBot="1" x14ac:dyDescent="0.4">
      <c r="A15" s="32" t="str">
        <f>_xlfn.XLOOKUP(C15,Table1[Countermeasure],Table1[Category (FHWA)],"")</f>
        <v>Pedestrian and Bicyclist</v>
      </c>
      <c r="B15" s="36" t="str">
        <f>_xlfn.XLOOKUP(A15,'Data Validation'!$A$2:$A$6,'Data Validation'!$C$2:$C$6,"")&amp;"."&amp;COUNTIF('Overall Table'!$A$2:A15,'Overall Table'!A15)</f>
        <v>BP.4</v>
      </c>
      <c r="C15" s="33" t="str">
        <f>'CM attributes, relevance'!A15</f>
        <v>Parking restriction on crosswalk approach</v>
      </c>
      <c r="D15" s="34"/>
      <c r="E15" s="35" t="str">
        <f>_xlfn.XLOOKUP(C15,'CMF source, cost, effectiveness'!$A$2:$A$101,'CMF source, cost, effectiveness'!$K$2:$K$101,"")</f>
        <v>Low</v>
      </c>
      <c r="F15" s="35" t="str">
        <f>_xlfn.XLOOKUP(C15,'CMF source, cost, effectiveness'!$A$2:$A$66,'CMF source, cost, effectiveness'!$M$2:$M$66,"")</f>
        <v>Less than 1 year</v>
      </c>
      <c r="G15" s="35" t="str">
        <f>_xlfn.XLOOKUP(C15,'CMF source, cost, effectiveness'!$A$2:$A$101,'CMF source, cost, effectiveness'!$L$2:$L$101,"")</f>
        <v>Proven</v>
      </c>
      <c r="H15" s="50" t="str">
        <f>_xlfn.XLOOKUP(C15,Table1[Countermeasure],Table1[Safe System Category],"")</f>
        <v>Safer Roads</v>
      </c>
      <c r="I15" s="1" t="str">
        <f>IF(_xlfn.XLOOKUP($C15,Table1[Countermeasure],Table1[Remove Severe Conflicts])="x","✓","")</f>
        <v>✓</v>
      </c>
      <c r="J15" s="62" t="s">
        <v>48</v>
      </c>
      <c r="K15" s="62" t="s">
        <v>48</v>
      </c>
      <c r="L15" s="1" t="str">
        <f>IF(_xlfn.XLOOKUP($C15,Table1[Countermeasure],Table1[Increase Attentiveness &amp; Awareness])="x","✓","")</f>
        <v>✓</v>
      </c>
      <c r="M15" s="62" t="s">
        <v>48</v>
      </c>
      <c r="N15" s="62" t="s">
        <v>48</v>
      </c>
      <c r="O15" s="2" t="str">
        <f>IF(_xlfn.XLOOKUP($C15,Table1[Countermeasure],Table1[Proven Safety Countermeasure])="x","Proven Safety Countermeasures",IF(_xlfn.XLOOKUP($C15,Table1[Countermeasure],Table1[Proven Safety Countermeasure])="Toolbox of Pedestrian Countermeasures","Toolbox of Pedestrian Countermeasures",""))</f>
        <v>Toolbox of Pedestrian Countermeasures</v>
      </c>
      <c r="P15" s="62" t="s">
        <v>48</v>
      </c>
      <c r="Q15" s="62" t="s">
        <v>48</v>
      </c>
      <c r="R15" s="2" t="str">
        <f>IF(_xlfn.XLOOKUP($C15,Table1[Countermeasure],Table1[NCHRP 926])="x","NCHRP 926","")</f>
        <v>NCHRP 926</v>
      </c>
      <c r="S15" s="30" t="str" cm="1">
        <f t="array" ref="S15">IF(_xlfn.XLOOKUP($C15,Table1[[Countermeasure]:[Countermeasure]],_xlfn.XLOOKUP('Overall Table'!S$1,Table1[[#Headers],[Bike Crashes, intersection turning conflicts]:[Speeding related vehicle crashes]],Table1[[Bike Crashes, intersection turning conflicts]:[Speeding related vehicle crashes]],""),"")="x","✓",IF(_xlfn.XLOOKUP($C15,Table1[Countermeasure],_xlfn.XLOOKUP('Overall Table'!S$1,Table1[[#Headers],[Bike Crashes, intersection turning conflicts]:[Speeding related vehicle crashes]],Table1[[Bike Crashes, intersection turning conflicts]:[Speeding related vehicle crashes]],""),"")="o","O",""))</f>
        <v>✓</v>
      </c>
      <c r="T15" s="62" t="s">
        <v>48</v>
      </c>
      <c r="U15" s="62" t="s">
        <v>48</v>
      </c>
      <c r="V15" s="31" t="str" cm="1">
        <f t="array" ref="V15">IF(_xlfn.XLOOKUP($C15,Table1[[Countermeasure]:[Countermeasure]],_xlfn.XLOOKUP('Overall Table'!V$1,Table1[[#Headers],[Bike Crashes, intersection turning conflicts]:[Speeding related vehicle crashes]],Table1[[Bike Crashes, intersection turning conflicts]:[Speeding related vehicle crashes]],""),"")="x","✓",IF(_xlfn.XLOOKUP($C15,Table1[Manage Conflicts in Time],_xlfn.XLOOKUP('Overall Table'!V$1,Table1[[#Headers],[Bike Crashes, intersection turning conflicts]:[Speeding related vehicle crashes]],Table1[[Bike Crashes, intersection turning conflicts]:[Speeding related vehicle crashes]],""),"")="o","O",""))</f>
        <v>✓</v>
      </c>
      <c r="W15" s="62" t="s">
        <v>48</v>
      </c>
      <c r="X15" s="31" t="str" cm="1">
        <f t="array" ref="X15">IF(_xlfn.XLOOKUP($C15,Table1[[Countermeasure]:[Countermeasure]],_xlfn.XLOOKUP('Overall Table'!X$1,Table1[[#Headers],[Bike Crashes, intersection turning conflicts]:[Speeding related vehicle crashes]],Table1[[Bike Crashes, intersection turning conflicts]:[Speeding related vehicle crashes]],""),"")="x","✓",IF(_xlfn.XLOOKUP($C15,Table1[FHWA helper],_xlfn.XLOOKUP('Overall Table'!X$1,Table1[[#Headers],[Bike Crashes, intersection turning conflicts]:[Speeding related vehicle crashes]],Table1[[Bike Crashes, intersection turning conflicts]:[Speeding related vehicle crashes]],""),"")="o","O",""))</f>
        <v>✓</v>
      </c>
      <c r="Y15" s="31" t="str" cm="1">
        <f t="array" ref="Y15">IF(_xlfn.XLOOKUP($C15,Table1[[Countermeasure]:[Countermeasure]],_xlfn.XLOOKUP('Overall Table'!Y$1,Table1[[#Headers],[Bike Crashes, intersection turning conflicts]:[Speeding related vehicle crashes]],Table1[[Bike Crashes, intersection turning conflicts]:[Speeding related vehicle crashes]],""),"")="x","✓",IF(_xlfn.XLOOKUP($C15,Table1[Category (FHWA)],_xlfn.XLOOKUP('Overall Table'!Y$1,Table1[[#Headers],[Bike Crashes, intersection turning conflicts]:[Speeding related vehicle crashes]],Table1[[Bike Crashes, intersection turning conflicts]:[Speeding related vehicle crashes]],""),"")="o","O",""))</f>
        <v>✓</v>
      </c>
      <c r="Z15" s="62" t="s">
        <v>48</v>
      </c>
      <c r="AA15" s="31" t="str" cm="1">
        <f t="array" ref="AA15">IF(_xlfn.XLOOKUP($C15,Table1[[Countermeasure]:[Countermeasure]],_xlfn.XLOOKUP('Overall Table'!AA$1,Table1[[#Headers],[Bike Crashes, intersection turning conflicts]:[Speeding related vehicle crashes]],Table1[[Bike Crashes, intersection turning conflicts]:[Speeding related vehicle crashes]],""),"")="x","✓",IF(_xlfn.XLOOKUP($C15,Table1[MnDOT District Roadway Safety "Big Book of Ideas"],_xlfn.XLOOKUP('Overall Table'!AA$1,Table1[[#Headers],[Bike Crashes, intersection turning conflicts]:[Speeding related vehicle crashes]],Table1[[Bike Crashes, intersection turning conflicts]:[Speeding related vehicle crashes]],""),"")="o","O",""))</f>
        <v>✓</v>
      </c>
      <c r="AB15" s="62" t="s">
        <v>48</v>
      </c>
      <c r="AC15" s="62" t="s">
        <v>48</v>
      </c>
      <c r="AD15" s="62" t="s">
        <v>48</v>
      </c>
    </row>
    <row r="16" spans="1:30" ht="28.5" thickBot="1" x14ac:dyDescent="0.4">
      <c r="A16" s="32" t="str">
        <f>_xlfn.XLOOKUP(C16,Table1[Countermeasure],Table1[Category (FHWA)],"")</f>
        <v>Pedestrian and Bicyclist</v>
      </c>
      <c r="B16" s="36" t="str">
        <f>_xlfn.XLOOKUP(A16,'Data Validation'!$A$2:$A$6,'Data Validation'!$C$2:$C$6,"")&amp;"."&amp;COUNTIF('Overall Table'!$A$2:A16,'Overall Table'!A16)</f>
        <v>BP.5</v>
      </c>
      <c r="C16" s="33" t="str">
        <f>'CM attributes, relevance'!A16</f>
        <v>Add Bike lanes</v>
      </c>
      <c r="D16" s="34"/>
      <c r="E16" s="35" t="str">
        <f>_xlfn.XLOOKUP(C16,'CMF source, cost, effectiveness'!$A$2:$A$101,'CMF source, cost, effectiveness'!$K$2:$K$101,"")</f>
        <v>High</v>
      </c>
      <c r="F16" s="35" t="str">
        <f>_xlfn.XLOOKUP(C16,'CMF source, cost, effectiveness'!$A$2:$A$66,'CMF source, cost, effectiveness'!$M$2:$M$66,"")</f>
        <v>More than 2 years</v>
      </c>
      <c r="G16" s="35" t="str">
        <f>_xlfn.XLOOKUP(C16,'CMF source, cost, effectiveness'!$A$2:$A$101,'CMF source, cost, effectiveness'!$L$2:$L$101,"")</f>
        <v>Proven</v>
      </c>
      <c r="H16" s="50" t="str">
        <f>_xlfn.XLOOKUP(C16,Table1[Countermeasure],Table1[Safe System Category],"")</f>
        <v>Safer Roads</v>
      </c>
      <c r="I16" s="1" t="str">
        <f>IF(_xlfn.XLOOKUP($C16,Table1[Countermeasure],Table1[Remove Severe Conflicts])="x","✓","")</f>
        <v>✓</v>
      </c>
      <c r="J16" s="62" t="s">
        <v>48</v>
      </c>
      <c r="K16" s="62" t="s">
        <v>48</v>
      </c>
      <c r="L16" s="62" t="s">
        <v>48</v>
      </c>
      <c r="M16" s="23" t="str">
        <f>IF(OR(_xlfn.XLOOKUP($C16,Table1[Countermeasure],Table1[Signalized Intersection KSI (equity)])="x",_xlfn.XLOOKUP($C16,Table1[Countermeasure],Table1[Bike Crashes, No facility, midblock (equity)])="x",_xlfn.XLOOKUP($C16,Table1[Countermeasure],Table1[Local Intersection, Injury (equity)])="x",_xlfn.XLOOKUP($C16,Table1[Countermeasure],Table1[Posted Speed 40+ mph (equity)])="x"),"✓","")</f>
        <v>✓</v>
      </c>
      <c r="N16" s="62" t="s">
        <v>48</v>
      </c>
      <c r="O16" s="2" t="str">
        <f>IF(_xlfn.XLOOKUP($C16,Table1[Countermeasure],Table1[Proven Safety Countermeasure])="x","Proven Safety Countermeasures",IF(_xlfn.XLOOKUP($C16,Table1[Countermeasure],Table1[Proven Safety Countermeasure])="Toolbox of Pedestrian Countermeasures","Toolbox of Pedestrian Countermeasures",""))</f>
        <v>Proven Safety Countermeasures</v>
      </c>
      <c r="P16" s="62" t="s">
        <v>48</v>
      </c>
      <c r="Q16" s="2" t="str">
        <f>IF(NOT(ISERROR(SEARCH("Big",_xlfn.XLOOKUP($C16,'CMF source, cost, effectiveness'!$A$2:$A$62,'CMF source, cost, effectiveness'!$G$2:$G$62)))),"Minnesota District Safety Plan Big Book of Ideas","")</f>
        <v>Minnesota District Safety Plan Big Book of Ideas</v>
      </c>
      <c r="R16" s="2" t="str">
        <f>IF(_xlfn.XLOOKUP($C16,Table1[Countermeasure],Table1[NCHRP 926])="x","NCHRP 926","")</f>
        <v>NCHRP 926</v>
      </c>
      <c r="S16" s="30" t="str" cm="1">
        <f t="array" ref="S16">IF(_xlfn.XLOOKUP($C16,Table1[[Countermeasure]:[Countermeasure]],_xlfn.XLOOKUP('Overall Table'!S$1,Table1[[#Headers],[Bike Crashes, intersection turning conflicts]:[Speeding related vehicle crashes]],Table1[[Bike Crashes, intersection turning conflicts]:[Speeding related vehicle crashes]],""),"")="x","✓",IF(_xlfn.XLOOKUP($C16,Table1[Countermeasure],_xlfn.XLOOKUP('Overall Table'!S$1,Table1[[#Headers],[Bike Crashes, intersection turning conflicts]:[Speeding related vehicle crashes]],Table1[[Bike Crashes, intersection turning conflicts]:[Speeding related vehicle crashes]],""),"")="o","O",""))</f>
        <v>✓</v>
      </c>
      <c r="T16" s="62" t="s">
        <v>48</v>
      </c>
      <c r="U16" s="31" t="str" cm="1">
        <f t="array" ref="U16">IF(_xlfn.XLOOKUP($C16,Table1[[Countermeasure]:[Countermeasure]],_xlfn.XLOOKUP('Overall Table'!U$1,Table1[[#Headers],[Bike Crashes, intersection turning conflicts]:[Speeding related vehicle crashes]],Table1[[Bike Crashes, intersection turning conflicts]:[Speeding related vehicle crashes]],""),"")="x","✓",IF(_xlfn.XLOOKUP($C16,Table1[Reduce Vehicle Speeds],_xlfn.XLOOKUP('Overall Table'!U$1,Table1[[#Headers],[Bike Crashes, intersection turning conflicts]:[Speeding related vehicle crashes]],Table1[[Bike Crashes, intersection turning conflicts]:[Speeding related vehicle crashes]],""),"")="o","O",""))</f>
        <v>✓</v>
      </c>
      <c r="V16" s="62" t="s">
        <v>48</v>
      </c>
      <c r="W16" s="31" t="str" cm="1">
        <f t="array" ref="W16">IF(_xlfn.XLOOKUP($C16,Table1[[Countermeasure]:[Countermeasure]],_xlfn.XLOOKUP('Overall Table'!W$1,Table1[[#Headers],[Bike Crashes, intersection turning conflicts]:[Speeding related vehicle crashes]],Table1[[Bike Crashes, intersection turning conflicts]:[Speeding related vehicle crashes]],""),"")="x","✓",IF(_xlfn.XLOOKUP($C16,Table1[Increase Attentiveness &amp; Awareness],_xlfn.XLOOKUP('Overall Table'!W$1,Table1[[#Headers],[Bike Crashes, intersection turning conflicts]:[Speeding related vehicle crashes]],Table1[[Bike Crashes, intersection turning conflicts]:[Speeding related vehicle crashes]],""),"")="o","O",""))</f>
        <v>✓</v>
      </c>
      <c r="X16" s="62" t="s">
        <v>48</v>
      </c>
      <c r="Y16" s="31" t="str" cm="1">
        <f t="array" ref="Y16">IF(_xlfn.XLOOKUP($C16,Table1[[Countermeasure]:[Countermeasure]],_xlfn.XLOOKUP('Overall Table'!Y$1,Table1[[#Headers],[Bike Crashes, intersection turning conflicts]:[Speeding related vehicle crashes]],Table1[[Bike Crashes, intersection turning conflicts]:[Speeding related vehicle crashes]],""),"")="x","✓",IF(_xlfn.XLOOKUP($C16,Table1[Category (FHWA)],_xlfn.XLOOKUP('Overall Table'!Y$1,Table1[[#Headers],[Bike Crashes, intersection turning conflicts]:[Speeding related vehicle crashes]],Table1[[Bike Crashes, intersection turning conflicts]:[Speeding related vehicle crashes]],""),"")="o","O",""))</f>
        <v>✓</v>
      </c>
      <c r="Z16" s="62" t="s">
        <v>48</v>
      </c>
      <c r="AA16" s="62" t="s">
        <v>48</v>
      </c>
      <c r="AB16" s="31" t="str" cm="1">
        <f t="array" ref="AB16">IF(_xlfn.XLOOKUP($C16,Table1[[Countermeasure]:[Countermeasure]],_xlfn.XLOOKUP('Overall Table'!AB$1,Table1[[#Headers],[Bike Crashes, intersection turning conflicts]:[Speeding related vehicle crashes]],Table1[[Bike Crashes, intersection turning conflicts]:[Speeding related vehicle crashes]],""),"")="x","✓",IF(_xlfn.XLOOKUP($C16,Table1[NCHRP 926],_xlfn.XLOOKUP('Overall Table'!AB$1,Table1[[#Headers],[Bike Crashes, intersection turning conflicts]:[Speeding related vehicle crashes]],Table1[[Bike Crashes, intersection turning conflicts]:[Speeding related vehicle crashes]],""),"")="o","O",""))</f>
        <v>✓</v>
      </c>
      <c r="AC16" s="62" t="s">
        <v>48</v>
      </c>
      <c r="AD16" s="62" t="s">
        <v>48</v>
      </c>
    </row>
    <row r="17" spans="1:30" ht="28.5" thickBot="1" x14ac:dyDescent="0.4">
      <c r="A17" s="32" t="str">
        <f>_xlfn.XLOOKUP(C17,Table1[Countermeasure],Table1[Category (FHWA)],"")</f>
        <v>Pedestrian and Bicyclist</v>
      </c>
      <c r="B17" s="36" t="str">
        <f>_xlfn.XLOOKUP(A17,'Data Validation'!$A$2:$A$6,'Data Validation'!$C$2:$C$6,"")&amp;"."&amp;COUNTIF('Overall Table'!$A$2:A17,'Overall Table'!A17)</f>
        <v>BP.6</v>
      </c>
      <c r="C17" s="33" t="str">
        <f>'CM attributes, relevance'!A17</f>
        <v>Shared use path</v>
      </c>
      <c r="D17" s="34"/>
      <c r="E17" s="35" t="str">
        <f>_xlfn.XLOOKUP(C17,'CMF source, cost, effectiveness'!$A$2:$A$101,'CMF source, cost, effectiveness'!$K$2:$K$101,"")</f>
        <v>High</v>
      </c>
      <c r="F17" s="35" t="str">
        <f>_xlfn.XLOOKUP(C17,'CMF source, cost, effectiveness'!$A$2:$A$66,'CMF source, cost, effectiveness'!$M$2:$M$66,"")</f>
        <v>More than 2 years</v>
      </c>
      <c r="G17" s="35" t="str">
        <f>_xlfn.XLOOKUP(C17,'CMF source, cost, effectiveness'!$A$2:$A$101,'CMF source, cost, effectiveness'!$L$2:$L$101,"")</f>
        <v>Proven</v>
      </c>
      <c r="H17" s="50" t="str">
        <f>_xlfn.XLOOKUP(C17,Table1[Countermeasure],Table1[Safe System Category],"")</f>
        <v>Safer Roads</v>
      </c>
      <c r="I17" s="1" t="str">
        <f>IF(_xlfn.XLOOKUP($C17,Table1[Countermeasure],Table1[Remove Severe Conflicts])="x","✓","")</f>
        <v>✓</v>
      </c>
      <c r="J17" s="62" t="s">
        <v>48</v>
      </c>
      <c r="K17" s="62" t="s">
        <v>48</v>
      </c>
      <c r="L17" s="62" t="s">
        <v>48</v>
      </c>
      <c r="M17" s="23" t="str">
        <f>IF(OR(_xlfn.XLOOKUP($C17,Table1[Countermeasure],Table1[Signalized Intersection KSI (equity)])="x",_xlfn.XLOOKUP($C17,Table1[Countermeasure],Table1[Bike Crashes, No facility, midblock (equity)])="x",_xlfn.XLOOKUP($C17,Table1[Countermeasure],Table1[Local Intersection, Injury (equity)])="x",_xlfn.XLOOKUP($C17,Table1[Countermeasure],Table1[Posted Speed 40+ mph (equity)])="x"),"✓","")</f>
        <v>✓</v>
      </c>
      <c r="N17" s="62" t="s">
        <v>48</v>
      </c>
      <c r="O17" s="2" t="str">
        <f>IF(_xlfn.XLOOKUP($C17,Table1[Countermeasure],Table1[Proven Safety Countermeasure])="x","Proven Safety Countermeasures",IF(_xlfn.XLOOKUP($C17,Table1[Countermeasure],Table1[Proven Safety Countermeasure])="Toolbox of Pedestrian Countermeasures","Toolbox of Pedestrian Countermeasures",""))</f>
        <v>Proven Safety Countermeasures</v>
      </c>
      <c r="P17" s="62" t="s">
        <v>48</v>
      </c>
      <c r="Q17" s="62" t="s">
        <v>48</v>
      </c>
      <c r="R17" s="2" t="str">
        <f>IF(_xlfn.XLOOKUP($C17,Table1[Countermeasure],Table1[NCHRP 926])="x","NCHRP 926","")</f>
        <v>NCHRP 926</v>
      </c>
      <c r="S17" s="30" t="str" cm="1">
        <f t="array" ref="S17">IF(_xlfn.XLOOKUP($C17,Table1[[Countermeasure]:[Countermeasure]],_xlfn.XLOOKUP('Overall Table'!S$1,Table1[[#Headers],[Bike Crashes, intersection turning conflicts]:[Speeding related vehicle crashes]],Table1[[Bike Crashes, intersection turning conflicts]:[Speeding related vehicle crashes]],""),"")="x","✓",IF(_xlfn.XLOOKUP($C17,Table1[Countermeasure],_xlfn.XLOOKUP('Overall Table'!S$1,Table1[[#Headers],[Bike Crashes, intersection turning conflicts]:[Speeding related vehicle crashes]],Table1[[Bike Crashes, intersection turning conflicts]:[Speeding related vehicle crashes]],""),"")="o","O",""))</f>
        <v>✓</v>
      </c>
      <c r="T17" s="62" t="s">
        <v>48</v>
      </c>
      <c r="U17" s="31" t="str" cm="1">
        <f t="array" ref="U17">IF(_xlfn.XLOOKUP($C17,Table1[[Countermeasure]:[Countermeasure]],_xlfn.XLOOKUP('Overall Table'!U$1,Table1[[#Headers],[Bike Crashes, intersection turning conflicts]:[Speeding related vehicle crashes]],Table1[[Bike Crashes, intersection turning conflicts]:[Speeding related vehicle crashes]],""),"")="x","✓",IF(_xlfn.XLOOKUP($C17,Table1[Reduce Vehicle Speeds],_xlfn.XLOOKUP('Overall Table'!U$1,Table1[[#Headers],[Bike Crashes, intersection turning conflicts]:[Speeding related vehicle crashes]],Table1[[Bike Crashes, intersection turning conflicts]:[Speeding related vehicle crashes]],""),"")="o","O",""))</f>
        <v>✓</v>
      </c>
      <c r="V17" s="62" t="s">
        <v>48</v>
      </c>
      <c r="W17" s="31" t="str" cm="1">
        <f t="array" ref="W17">IF(_xlfn.XLOOKUP($C17,Table1[[Countermeasure]:[Countermeasure]],_xlfn.XLOOKUP('Overall Table'!W$1,Table1[[#Headers],[Bike Crashes, intersection turning conflicts]:[Speeding related vehicle crashes]],Table1[[Bike Crashes, intersection turning conflicts]:[Speeding related vehicle crashes]],""),"")="x","✓",IF(_xlfn.XLOOKUP($C17,Table1[Increase Attentiveness &amp; Awareness],_xlfn.XLOOKUP('Overall Table'!W$1,Table1[[#Headers],[Bike Crashes, intersection turning conflicts]:[Speeding related vehicle crashes]],Table1[[Bike Crashes, intersection turning conflicts]:[Speeding related vehicle crashes]],""),"")="o","O",""))</f>
        <v>✓</v>
      </c>
      <c r="X17" s="62" t="s">
        <v>48</v>
      </c>
      <c r="Y17" s="31" t="str" cm="1">
        <f t="array" ref="Y17">IF(_xlfn.XLOOKUP($C17,Table1[[Countermeasure]:[Countermeasure]],_xlfn.XLOOKUP('Overall Table'!Y$1,Table1[[#Headers],[Bike Crashes, intersection turning conflicts]:[Speeding related vehicle crashes]],Table1[[Bike Crashes, intersection turning conflicts]:[Speeding related vehicle crashes]],""),"")="x","✓",IF(_xlfn.XLOOKUP($C17,Table1[Category (FHWA)],_xlfn.XLOOKUP('Overall Table'!Y$1,Table1[[#Headers],[Bike Crashes, intersection turning conflicts]:[Speeding related vehicle crashes]],Table1[[Bike Crashes, intersection turning conflicts]:[Speeding related vehicle crashes]],""),"")="o","O",""))</f>
        <v>✓</v>
      </c>
      <c r="Z17" s="62" t="s">
        <v>48</v>
      </c>
      <c r="AA17" s="62" t="s">
        <v>48</v>
      </c>
      <c r="AB17" s="31" t="str" cm="1">
        <f t="array" ref="AB17">IF(_xlfn.XLOOKUP($C17,Table1[[Countermeasure]:[Countermeasure]],_xlfn.XLOOKUP('Overall Table'!AB$1,Table1[[#Headers],[Bike Crashes, intersection turning conflicts]:[Speeding related vehicle crashes]],Table1[[Bike Crashes, intersection turning conflicts]:[Speeding related vehicle crashes]],""),"")="x","✓",IF(_xlfn.XLOOKUP($C17,Table1[NCHRP 926],_xlfn.XLOOKUP('Overall Table'!AB$1,Table1[[#Headers],[Bike Crashes, intersection turning conflicts]:[Speeding related vehicle crashes]],Table1[[Bike Crashes, intersection turning conflicts]:[Speeding related vehicle crashes]],""),"")="o","O",""))</f>
        <v>✓</v>
      </c>
      <c r="AC17" s="62" t="s">
        <v>48</v>
      </c>
      <c r="AD17" s="62" t="s">
        <v>48</v>
      </c>
    </row>
    <row r="18" spans="1:30" ht="28.5" thickBot="1" x14ac:dyDescent="0.4">
      <c r="A18" s="32" t="str">
        <f>_xlfn.XLOOKUP(C18,Table1[Countermeasure],Table1[Category (FHWA)],"")</f>
        <v>Pedestrian and Bicyclist</v>
      </c>
      <c r="B18" s="36" t="str">
        <f>_xlfn.XLOOKUP(A18,'Data Validation'!$A$2:$A$6,'Data Validation'!$C$2:$C$6,"")&amp;"."&amp;COUNTIF('Overall Table'!$A$2:A18,'Overall Table'!A18)</f>
        <v>BP.7</v>
      </c>
      <c r="C18" s="33" t="str">
        <f>'CM attributes, relevance'!A18</f>
        <v>Improve bike lane protection</v>
      </c>
      <c r="D18" s="34"/>
      <c r="E18" s="35" t="str">
        <f>_xlfn.XLOOKUP(C18,'CMF source, cost, effectiveness'!$A$2:$A$101,'CMF source, cost, effectiveness'!$K$2:$K$101,"")</f>
        <v>Moderate</v>
      </c>
      <c r="F18" s="35" t="str">
        <f>_xlfn.XLOOKUP(C18,'CMF source, cost, effectiveness'!$A$2:$A$66,'CMF source, cost, effectiveness'!$M$2:$M$66,"")</f>
        <v>1 - 2 years</v>
      </c>
      <c r="G18" s="35" t="str">
        <f>_xlfn.XLOOKUP(C18,'CMF source, cost, effectiveness'!$A$2:$A$101,'CMF source, cost, effectiveness'!$L$2:$L$101,"")</f>
        <v>Documented</v>
      </c>
      <c r="H18" s="50" t="str">
        <f>_xlfn.XLOOKUP(C18,Table1[Countermeasure],Table1[Safe System Category],"")</f>
        <v>Safer Roads</v>
      </c>
      <c r="I18" s="1" t="str">
        <f>IF(_xlfn.XLOOKUP($C18,Table1[Countermeasure],Table1[Remove Severe Conflicts])="x","✓","")</f>
        <v>✓</v>
      </c>
      <c r="J18" s="62" t="s">
        <v>48</v>
      </c>
      <c r="K18" s="62" t="s">
        <v>48</v>
      </c>
      <c r="L18" s="62" t="s">
        <v>48</v>
      </c>
      <c r="M18" s="23" t="str">
        <f>IF(OR(_xlfn.XLOOKUP($C18,Table1[Countermeasure],Table1[Signalized Intersection KSI (equity)])="x",_xlfn.XLOOKUP($C18,Table1[Countermeasure],Table1[Bike Crashes, No facility, midblock (equity)])="x",_xlfn.XLOOKUP($C18,Table1[Countermeasure],Table1[Local Intersection, Injury (equity)])="x",_xlfn.XLOOKUP($C18,Table1[Countermeasure],Table1[Posted Speed 40+ mph (equity)])="x"),"✓","")</f>
        <v>✓</v>
      </c>
      <c r="N18" s="2" t="str">
        <f>IF(NOT(ISERROR(SEARCH("CMF",_xlfn.XLOOKUP($C18,'CMF source, cost, effectiveness'!$A$2:$A$62,'CMF source, cost, effectiveness'!$G$2:$G$62)))),_xlfn.XLOOKUP($C18,'CMF source, cost, effectiveness'!$A$2:$A$62,'CMF source, cost, effectiveness'!$G$2:$G$62),"")</f>
        <v>CMF 11301</v>
      </c>
      <c r="O18" s="62" t="s">
        <v>48</v>
      </c>
      <c r="P18" s="62" t="s">
        <v>48</v>
      </c>
      <c r="Q18" s="62" t="s">
        <v>48</v>
      </c>
      <c r="R18" s="62" t="s">
        <v>48</v>
      </c>
      <c r="S18" s="30" t="str" cm="1">
        <f t="array" ref="S18">IF(_xlfn.XLOOKUP($C18,Table1[[Countermeasure]:[Countermeasure]],_xlfn.XLOOKUP('Overall Table'!S$1,Table1[[#Headers],[Bike Crashes, intersection turning conflicts]:[Speeding related vehicle crashes]],Table1[[Bike Crashes, intersection turning conflicts]:[Speeding related vehicle crashes]],""),"")="x","✓",IF(_xlfn.XLOOKUP($C18,Table1[Countermeasure],_xlfn.XLOOKUP('Overall Table'!S$1,Table1[[#Headers],[Bike Crashes, intersection turning conflicts]:[Speeding related vehicle crashes]],Table1[[Bike Crashes, intersection turning conflicts]:[Speeding related vehicle crashes]],""),"")="o","O",""))</f>
        <v>✓</v>
      </c>
      <c r="T18" s="62" t="s">
        <v>48</v>
      </c>
      <c r="U18" s="31" t="str" cm="1">
        <f t="array" ref="U18">IF(_xlfn.XLOOKUP($C18,Table1[[Countermeasure]:[Countermeasure]],_xlfn.XLOOKUP('Overall Table'!U$1,Table1[[#Headers],[Bike Crashes, intersection turning conflicts]:[Speeding related vehicle crashes]],Table1[[Bike Crashes, intersection turning conflicts]:[Speeding related vehicle crashes]],""),"")="x","✓",IF(_xlfn.XLOOKUP($C18,Table1[Reduce Vehicle Speeds],_xlfn.XLOOKUP('Overall Table'!U$1,Table1[[#Headers],[Bike Crashes, intersection turning conflicts]:[Speeding related vehicle crashes]],Table1[[Bike Crashes, intersection turning conflicts]:[Speeding related vehicle crashes]],""),"")="o","O",""))</f>
        <v>✓</v>
      </c>
      <c r="V18" s="62" t="s">
        <v>48</v>
      </c>
      <c r="W18" s="62" t="s">
        <v>48</v>
      </c>
      <c r="X18" s="31" t="str" cm="1">
        <f t="array" ref="X18">IF(_xlfn.XLOOKUP($C18,Table1[[Countermeasure]:[Countermeasure]],_xlfn.XLOOKUP('Overall Table'!X$1,Table1[[#Headers],[Bike Crashes, intersection turning conflicts]:[Speeding related vehicle crashes]],Table1[[Bike Crashes, intersection turning conflicts]:[Speeding related vehicle crashes]],""),"")="x","✓",IF(_xlfn.XLOOKUP($C18,Table1[FHWA helper],_xlfn.XLOOKUP('Overall Table'!X$1,Table1[[#Headers],[Bike Crashes, intersection turning conflicts]:[Speeding related vehicle crashes]],Table1[[Bike Crashes, intersection turning conflicts]:[Speeding related vehicle crashes]],""),"")="o","O",""))</f>
        <v>✓</v>
      </c>
      <c r="Y18" s="31" t="str" cm="1">
        <f t="array" ref="Y18">IF(_xlfn.XLOOKUP($C18,Table1[[Countermeasure]:[Countermeasure]],_xlfn.XLOOKUP('Overall Table'!Y$1,Table1[[#Headers],[Bike Crashes, intersection turning conflicts]:[Speeding related vehicle crashes]],Table1[[Bike Crashes, intersection turning conflicts]:[Speeding related vehicle crashes]],""),"")="x","✓",IF(_xlfn.XLOOKUP($C18,Table1[Category (FHWA)],_xlfn.XLOOKUP('Overall Table'!Y$1,Table1[[#Headers],[Bike Crashes, intersection turning conflicts]:[Speeding related vehicle crashes]],Table1[[Bike Crashes, intersection turning conflicts]:[Speeding related vehicle crashes]],""),"")="o","O",""))</f>
        <v>✓</v>
      </c>
      <c r="Z18" s="62" t="s">
        <v>48</v>
      </c>
      <c r="AA18" s="62" t="s">
        <v>48</v>
      </c>
      <c r="AB18" s="31" t="str" cm="1">
        <f t="array" ref="AB18">IF(_xlfn.XLOOKUP($C18,Table1[[Countermeasure]:[Countermeasure]],_xlfn.XLOOKUP('Overall Table'!AB$1,Table1[[#Headers],[Bike Crashes, intersection turning conflicts]:[Speeding related vehicle crashes]],Table1[[Bike Crashes, intersection turning conflicts]:[Speeding related vehicle crashes]],""),"")="x","✓",IF(_xlfn.XLOOKUP($C18,Table1[NCHRP 926],_xlfn.XLOOKUP('Overall Table'!AB$1,Table1[[#Headers],[Bike Crashes, intersection turning conflicts]:[Speeding related vehicle crashes]],Table1[[Bike Crashes, intersection turning conflicts]:[Speeding related vehicle crashes]],""),"")="o","O",""))</f>
        <v>✓</v>
      </c>
      <c r="AC18" s="62" t="s">
        <v>48</v>
      </c>
      <c r="AD18" s="62" t="s">
        <v>48</v>
      </c>
    </row>
    <row r="19" spans="1:30" ht="28.5" thickBot="1" x14ac:dyDescent="0.4">
      <c r="A19" s="32" t="str">
        <f>_xlfn.XLOOKUP(C19,Table1[Countermeasure],Table1[Category (FHWA)],"")</f>
        <v>Pedestrian and Bicyclist</v>
      </c>
      <c r="B19" s="36" t="str">
        <f>_xlfn.XLOOKUP(A19,'Data Validation'!$A$2:$A$6,'Data Validation'!$C$2:$C$6,"")&amp;"."&amp;COUNTIF('Overall Table'!$A$2:A19,'Overall Table'!A19)</f>
        <v>BP.8</v>
      </c>
      <c r="C19" s="33" t="str">
        <f>'CM attributes, relevance'!A19</f>
        <v>Leading ped/bike interval</v>
      </c>
      <c r="D19" s="34"/>
      <c r="E19" s="35" t="str">
        <f>_xlfn.XLOOKUP(C19,'CMF source, cost, effectiveness'!$A$2:$A$101,'CMF source, cost, effectiveness'!$K$2:$K$101,"")</f>
        <v>Low</v>
      </c>
      <c r="F19" s="35" t="str">
        <f>_xlfn.XLOOKUP(C19,'CMF source, cost, effectiveness'!$A$2:$A$66,'CMF source, cost, effectiveness'!$M$2:$M$66,"")</f>
        <v>Less than 1 year</v>
      </c>
      <c r="G19" s="35" t="str">
        <f>_xlfn.XLOOKUP(C19,'CMF source, cost, effectiveness'!$A$2:$A$101,'CMF source, cost, effectiveness'!$L$2:$L$101,"")</f>
        <v>Proven</v>
      </c>
      <c r="H19" s="50" t="str">
        <f>_xlfn.XLOOKUP(C19,Table1[Countermeasure],Table1[Safe System Category],"")</f>
        <v>Safer Roads</v>
      </c>
      <c r="I19" s="62" t="s">
        <v>48</v>
      </c>
      <c r="J19" s="62" t="s">
        <v>48</v>
      </c>
      <c r="K19" s="1" t="str">
        <f>IF(_xlfn.XLOOKUP($C19,Table1[Countermeasure],Table1[Manage Conflicts in Time])="x","✓","")</f>
        <v>✓</v>
      </c>
      <c r="L19" s="62" t="s">
        <v>48</v>
      </c>
      <c r="M19" s="23" t="str">
        <f>IF(OR(_xlfn.XLOOKUP($C19,Table1[Countermeasure],Table1[Signalized Intersection KSI (equity)])="x",_xlfn.XLOOKUP($C19,Table1[Countermeasure],Table1[Bike Crashes, No facility, midblock (equity)])="x",_xlfn.XLOOKUP($C19,Table1[Countermeasure],Table1[Local Intersection, Injury (equity)])="x",_xlfn.XLOOKUP($C19,Table1[Countermeasure],Table1[Posted Speed 40+ mph (equity)])="x"),"✓","")</f>
        <v>✓</v>
      </c>
      <c r="N19" s="2" t="str">
        <f>IF(NOT(ISERROR(SEARCH("CMF",_xlfn.XLOOKUP($C19,'CMF source, cost, effectiveness'!$A$2:$A$62,'CMF source, cost, effectiveness'!$G$2:$G$62)))),_xlfn.XLOOKUP($C19,'CMF source, cost, effectiveness'!$A$2:$A$62,'CMF source, cost, effectiveness'!$G$2:$G$62),"")</f>
        <v>CMF 9916</v>
      </c>
      <c r="O19" s="2" t="str">
        <f>IF(_xlfn.XLOOKUP($C19,Table1[Countermeasure],Table1[Proven Safety Countermeasure])="x","Proven Safety Countermeasures",IF(_xlfn.XLOOKUP($C19,Table1[Countermeasure],Table1[Proven Safety Countermeasure])="Toolbox of Pedestrian Countermeasures","Toolbox of Pedestrian Countermeasures",""))</f>
        <v>Proven Safety Countermeasures</v>
      </c>
      <c r="P19" s="62" t="s">
        <v>48</v>
      </c>
      <c r="Q19" s="62" t="s">
        <v>48</v>
      </c>
      <c r="R19" s="2" t="str">
        <f>IF(_xlfn.XLOOKUP($C19,Table1[Countermeasure],Table1[NCHRP 926])="x","NCHRP 926","")</f>
        <v>NCHRP 926</v>
      </c>
      <c r="S19" s="30" t="str" cm="1">
        <f t="array" ref="S19">IF(_xlfn.XLOOKUP($C19,Table1[[Countermeasure]:[Countermeasure]],_xlfn.XLOOKUP('Overall Table'!S$1,Table1[[#Headers],[Bike Crashes, intersection turning conflicts]:[Speeding related vehicle crashes]],Table1[[Bike Crashes, intersection turning conflicts]:[Speeding related vehicle crashes]],""),"")="x","✓",IF(_xlfn.XLOOKUP($C19,Table1[Countermeasure],_xlfn.XLOOKUP('Overall Table'!S$1,Table1[[#Headers],[Bike Crashes, intersection turning conflicts]:[Speeding related vehicle crashes]],Table1[[Bike Crashes, intersection turning conflicts]:[Speeding related vehicle crashes]],""),"")="o","O",""))</f>
        <v>✓</v>
      </c>
      <c r="T19" s="31" t="str" cm="1">
        <f t="array" ref="T19">IF(_xlfn.XLOOKUP($C19,Table1[[Countermeasure]:[Countermeasure]],_xlfn.XLOOKUP('Overall Table'!T$1,Table1[[#Headers],[Bike Crashes, intersection turning conflicts]:[Speeding related vehicle crashes]],Table1[[Bike Crashes, intersection turning conflicts]:[Speeding related vehicle crashes]],""),"")="x","✓",IF(_xlfn.XLOOKUP($C19,Table1[Remove Severe Conflicts],_xlfn.XLOOKUP('Overall Table'!T$1,Table1[[#Headers],[Bike Crashes, intersection turning conflicts]:[Speeding related vehicle crashes]],Table1[[Bike Crashes, intersection turning conflicts]:[Speeding related vehicle crashes]],""),"")="o","O",""))</f>
        <v>✓</v>
      </c>
      <c r="U19" s="62" t="s">
        <v>48</v>
      </c>
      <c r="V19" s="31" t="str" cm="1">
        <f t="array" ref="V19">IF(_xlfn.XLOOKUP($C19,Table1[[Countermeasure]:[Countermeasure]],_xlfn.XLOOKUP('Overall Table'!V$1,Table1[[#Headers],[Bike Crashes, intersection turning conflicts]:[Speeding related vehicle crashes]],Table1[[Bike Crashes, intersection turning conflicts]:[Speeding related vehicle crashes]],""),"")="x","✓",IF(_xlfn.XLOOKUP($C19,Table1[Manage Conflicts in Time],_xlfn.XLOOKUP('Overall Table'!V$1,Table1[[#Headers],[Bike Crashes, intersection turning conflicts]:[Speeding related vehicle crashes]],Table1[[Bike Crashes, intersection turning conflicts]:[Speeding related vehicle crashes]],""),"")="o","O",""))</f>
        <v>✓</v>
      </c>
      <c r="W19" s="62" t="s">
        <v>48</v>
      </c>
      <c r="X19" s="31" t="str" cm="1">
        <f t="array" ref="X19">IF(_xlfn.XLOOKUP($C19,Table1[[Countermeasure]:[Countermeasure]],_xlfn.XLOOKUP('Overall Table'!X$1,Table1[[#Headers],[Bike Crashes, intersection turning conflicts]:[Speeding related vehicle crashes]],Table1[[Bike Crashes, intersection turning conflicts]:[Speeding related vehicle crashes]],""),"")="x","✓",IF(_xlfn.XLOOKUP($C19,Table1[FHWA helper],_xlfn.XLOOKUP('Overall Table'!X$1,Table1[[#Headers],[Bike Crashes, intersection turning conflicts]:[Speeding related vehicle crashes]],Table1[[Bike Crashes, intersection turning conflicts]:[Speeding related vehicle crashes]],""),"")="o","O",""))</f>
        <v>✓</v>
      </c>
      <c r="Y19" s="31" t="str" cm="1">
        <f t="array" ref="Y19">IF(_xlfn.XLOOKUP($C19,Table1[[Countermeasure]:[Countermeasure]],_xlfn.XLOOKUP('Overall Table'!Y$1,Table1[[#Headers],[Bike Crashes, intersection turning conflicts]:[Speeding related vehicle crashes]],Table1[[Bike Crashes, intersection turning conflicts]:[Speeding related vehicle crashes]],""),"")="x","✓",IF(_xlfn.XLOOKUP($C19,Table1[Category (FHWA)],_xlfn.XLOOKUP('Overall Table'!Y$1,Table1[[#Headers],[Bike Crashes, intersection turning conflicts]:[Speeding related vehicle crashes]],Table1[[Bike Crashes, intersection turning conflicts]:[Speeding related vehicle crashes]],""),"")="o","O",""))</f>
        <v>✓</v>
      </c>
      <c r="Z19" s="31" t="str" cm="1">
        <f t="array" ref="Z19">IF(_xlfn.XLOOKUP($C19,Table1[[Countermeasure]:[Countermeasure]],_xlfn.XLOOKUP('Overall Table'!Z$1,Table1[[#Headers],[Bike Crashes, intersection turning conflicts]:[Speeding related vehicle crashes]],Table1[[Bike Crashes, intersection turning conflicts]:[Speeding related vehicle crashes]],""),"")="x","✓",IF(_xlfn.XLOOKUP($C19,Table1[Proven Safety Countermeasure],_xlfn.XLOOKUP('Overall Table'!Z$1,Table1[[#Headers],[Bike Crashes, intersection turning conflicts]:[Speeding related vehicle crashes]],Table1[[Bike Crashes, intersection turning conflicts]:[Speeding related vehicle crashes]],""),"")="o","O",""))</f>
        <v>✓</v>
      </c>
      <c r="AA19" s="31" t="str" cm="1">
        <f t="array" ref="AA19">IF(_xlfn.XLOOKUP($C19,Table1[[Countermeasure]:[Countermeasure]],_xlfn.XLOOKUP('Overall Table'!AA$1,Table1[[#Headers],[Bike Crashes, intersection turning conflicts]:[Speeding related vehicle crashes]],Table1[[Bike Crashes, intersection turning conflicts]:[Speeding related vehicle crashes]],""),"")="x","✓",IF(_xlfn.XLOOKUP($C19,Table1[MnDOT District Roadway Safety "Big Book of Ideas"],_xlfn.XLOOKUP('Overall Table'!AA$1,Table1[[#Headers],[Bike Crashes, intersection turning conflicts]:[Speeding related vehicle crashes]],Table1[[Bike Crashes, intersection turning conflicts]:[Speeding related vehicle crashes]],""),"")="o","O",""))</f>
        <v>✓</v>
      </c>
      <c r="AB19" s="31" t="str" cm="1">
        <f t="array" ref="AB19">IF(_xlfn.XLOOKUP($C19,Table1[[Countermeasure]:[Countermeasure]],_xlfn.XLOOKUP('Overall Table'!AB$1,Table1[[#Headers],[Bike Crashes, intersection turning conflicts]:[Speeding related vehicle crashes]],Table1[[Bike Crashes, intersection turning conflicts]:[Speeding related vehicle crashes]],""),"")="x","✓",IF(_xlfn.XLOOKUP($C19,Table1[NCHRP 926],_xlfn.XLOOKUP('Overall Table'!AB$1,Table1[[#Headers],[Bike Crashes, intersection turning conflicts]:[Speeding related vehicle crashes]],Table1[[Bike Crashes, intersection turning conflicts]:[Speeding related vehicle crashes]],""),"")="o","O",""))</f>
        <v>✓</v>
      </c>
      <c r="AC19" s="62" t="s">
        <v>48</v>
      </c>
      <c r="AD19" s="62" t="s">
        <v>48</v>
      </c>
    </row>
    <row r="20" spans="1:30" ht="28.5" thickBot="1" x14ac:dyDescent="0.4">
      <c r="A20" s="32" t="str">
        <f>_xlfn.XLOOKUP(C20,Table1[Countermeasure],Table1[Category (FHWA)],"")</f>
        <v>Pedestrian and Bicyclist</v>
      </c>
      <c r="B20" s="36" t="str">
        <f>_xlfn.XLOOKUP(A20,'Data Validation'!$A$2:$A$6,'Data Validation'!$C$2:$C$6,"")&amp;"."&amp;COUNTIF('Overall Table'!$A$2:A20,'Overall Table'!A20)</f>
        <v>BP.9</v>
      </c>
      <c r="C20" s="33" t="str">
        <f>'CM attributes, relevance'!A20</f>
        <v>Pedestrian Hybrid Beacon (PHB)</v>
      </c>
      <c r="D20" s="34"/>
      <c r="E20" s="35" t="str">
        <f>_xlfn.XLOOKUP(C20,'CMF source, cost, effectiveness'!$A$2:$A$101,'CMF source, cost, effectiveness'!$K$2:$K$101,"")</f>
        <v>High</v>
      </c>
      <c r="F20" s="35" t="str">
        <f>_xlfn.XLOOKUP(C20,'CMF source, cost, effectiveness'!$A$2:$A$66,'CMF source, cost, effectiveness'!$M$2:$M$66,"")</f>
        <v>Less than 1 year</v>
      </c>
      <c r="G20" s="35" t="str">
        <f>_xlfn.XLOOKUP(C20,'CMF source, cost, effectiveness'!$A$2:$A$101,'CMF source, cost, effectiveness'!$L$2:$L$101,"")</f>
        <v>Proven</v>
      </c>
      <c r="H20" s="50" t="str">
        <f>_xlfn.XLOOKUP(C20,Table1[Countermeasure],Table1[Safe System Category],"")</f>
        <v>Safer Roads</v>
      </c>
      <c r="I20" s="62" t="s">
        <v>48</v>
      </c>
      <c r="J20" s="62" t="s">
        <v>48</v>
      </c>
      <c r="K20" s="1" t="str">
        <f>IF(_xlfn.XLOOKUP($C20,Table1[Countermeasure],Table1[Manage Conflicts in Time])="x","✓","")</f>
        <v>✓</v>
      </c>
      <c r="L20" s="62" t="s">
        <v>48</v>
      </c>
      <c r="M20" s="23" t="str">
        <f>IF(OR(_xlfn.XLOOKUP($C20,Table1[Countermeasure],Table1[Signalized Intersection KSI (equity)])="x",_xlfn.XLOOKUP($C20,Table1[Countermeasure],Table1[Bike Crashes, No facility, midblock (equity)])="x",_xlfn.XLOOKUP($C20,Table1[Countermeasure],Table1[Local Intersection, Injury (equity)])="x",_xlfn.XLOOKUP($C20,Table1[Countermeasure],Table1[Posted Speed 40+ mph (equity)])="x"),"✓","")</f>
        <v>✓</v>
      </c>
      <c r="N20" s="2" t="str">
        <f>IF(NOT(ISERROR(SEARCH("CMF",_xlfn.XLOOKUP($C20,'CMF source, cost, effectiveness'!$A$2:$A$62,'CMF source, cost, effectiveness'!$G$2:$G$62)))),_xlfn.XLOOKUP($C20,'CMF source, cost, effectiveness'!$A$2:$A$62,'CMF source, cost, effectiveness'!$G$2:$G$62),"")</f>
        <v>CMF 9021</v>
      </c>
      <c r="O20" s="2" t="str">
        <f>IF(_xlfn.XLOOKUP($C20,Table1[Countermeasure],Table1[Proven Safety Countermeasure])="x","Proven Safety Countermeasures",IF(_xlfn.XLOOKUP($C20,Table1[Countermeasure],Table1[Proven Safety Countermeasure])="Toolbox of Pedestrian Countermeasures","Toolbox of Pedestrian Countermeasures",""))</f>
        <v>Proven Safety Countermeasures</v>
      </c>
      <c r="P20" s="62" t="s">
        <v>48</v>
      </c>
      <c r="Q20" s="62" t="s">
        <v>48</v>
      </c>
      <c r="R20" s="2" t="str">
        <f>IF(_xlfn.XLOOKUP($C20,Table1[Countermeasure],Table1[NCHRP 926])="x","NCHRP 926","")</f>
        <v>NCHRP 926</v>
      </c>
      <c r="S20" s="62" t="s">
        <v>48</v>
      </c>
      <c r="T20" s="62" t="s">
        <v>48</v>
      </c>
      <c r="U20" s="31" t="str" cm="1">
        <f t="array" ref="U20">IF(_xlfn.XLOOKUP($C20,Table1[[Countermeasure]:[Countermeasure]],_xlfn.XLOOKUP('Overall Table'!U$1,Table1[[#Headers],[Bike Crashes, intersection turning conflicts]:[Speeding related vehicle crashes]],Table1[[Bike Crashes, intersection turning conflicts]:[Speeding related vehicle crashes]],""),"")="x","✓",IF(_xlfn.XLOOKUP($C20,Table1[Reduce Vehicle Speeds],_xlfn.XLOOKUP('Overall Table'!U$1,Table1[[#Headers],[Bike Crashes, intersection turning conflicts]:[Speeding related vehicle crashes]],Table1[[Bike Crashes, intersection turning conflicts]:[Speeding related vehicle crashes]],""),"")="o","O",""))</f>
        <v>✓</v>
      </c>
      <c r="V20" s="62" t="s">
        <v>48</v>
      </c>
      <c r="W20" s="62" t="s">
        <v>48</v>
      </c>
      <c r="X20" s="62" t="s">
        <v>48</v>
      </c>
      <c r="Y20" s="31" t="str" cm="1">
        <f t="array" ref="Y20">IF(_xlfn.XLOOKUP($C20,Table1[[Countermeasure]:[Countermeasure]],_xlfn.XLOOKUP('Overall Table'!Y$1,Table1[[#Headers],[Bike Crashes, intersection turning conflicts]:[Speeding related vehicle crashes]],Table1[[Bike Crashes, intersection turning conflicts]:[Speeding related vehicle crashes]],""),"")="x","✓",IF(_xlfn.XLOOKUP($C20,Table1[Category (FHWA)],_xlfn.XLOOKUP('Overall Table'!Y$1,Table1[[#Headers],[Bike Crashes, intersection turning conflicts]:[Speeding related vehicle crashes]],Table1[[Bike Crashes, intersection turning conflicts]:[Speeding related vehicle crashes]],""),"")="o","O",""))</f>
        <v>✓</v>
      </c>
      <c r="Z20" s="62" t="s">
        <v>48</v>
      </c>
      <c r="AA20" s="62" t="s">
        <v>48</v>
      </c>
      <c r="AB20" s="31" t="str" cm="1">
        <f t="array" ref="AB20">IF(_xlfn.XLOOKUP($C20,Table1[[Countermeasure]:[Countermeasure]],_xlfn.XLOOKUP('Overall Table'!AB$1,Table1[[#Headers],[Bike Crashes, intersection turning conflicts]:[Speeding related vehicle crashes]],Table1[[Bike Crashes, intersection turning conflicts]:[Speeding related vehicle crashes]],""),"")="x","✓",IF(_xlfn.XLOOKUP($C20,Table1[NCHRP 926],_xlfn.XLOOKUP('Overall Table'!AB$1,Table1[[#Headers],[Bike Crashes, intersection turning conflicts]:[Speeding related vehicle crashes]],Table1[[Bike Crashes, intersection turning conflicts]:[Speeding related vehicle crashes]],""),"")="o","O",""))</f>
        <v>✓</v>
      </c>
      <c r="AC20" s="62" t="s">
        <v>48</v>
      </c>
      <c r="AD20" s="62" t="s">
        <v>48</v>
      </c>
    </row>
    <row r="21" spans="1:30" ht="28.5" thickBot="1" x14ac:dyDescent="0.4">
      <c r="A21" s="32" t="str">
        <f>_xlfn.XLOOKUP(C21,Table1[Countermeasure],Table1[Category (FHWA)],"")</f>
        <v>Pedestrian and Bicyclist</v>
      </c>
      <c r="B21" s="36" t="str">
        <f>_xlfn.XLOOKUP(A21,'Data Validation'!$A$2:$A$6,'Data Validation'!$C$2:$C$6,"")&amp;"."&amp;COUNTIF('Overall Table'!$A$2:A21,'Overall Table'!A21)</f>
        <v>BP.10</v>
      </c>
      <c r="C21" s="33" t="str">
        <f>'CM attributes, relevance'!A21</f>
        <v>Rapid Rectangular Flashing Beacon (RRFB)</v>
      </c>
      <c r="D21" s="34"/>
      <c r="E21" s="35" t="str">
        <f>_xlfn.XLOOKUP(C21,'CMF source, cost, effectiveness'!$A$2:$A$101,'CMF source, cost, effectiveness'!$K$2:$K$101,"")</f>
        <v>Low</v>
      </c>
      <c r="F21" s="35" t="str">
        <f>_xlfn.XLOOKUP(C21,'CMF source, cost, effectiveness'!$A$2:$A$66,'CMF source, cost, effectiveness'!$M$2:$M$66,"")</f>
        <v>Less than 1 year</v>
      </c>
      <c r="G21" s="35" t="str">
        <f>_xlfn.XLOOKUP(C21,'CMF source, cost, effectiveness'!$A$2:$A$101,'CMF source, cost, effectiveness'!$L$2:$L$101,"")</f>
        <v>Proven</v>
      </c>
      <c r="H21" s="50" t="str">
        <f>_xlfn.XLOOKUP(C21,Table1[Countermeasure],Table1[Safe System Category],"")</f>
        <v>Safer Roads</v>
      </c>
      <c r="I21" s="62" t="s">
        <v>48</v>
      </c>
      <c r="J21" s="62" t="s">
        <v>48</v>
      </c>
      <c r="K21" s="62" t="s">
        <v>48</v>
      </c>
      <c r="L21" s="1" t="str">
        <f>IF(_xlfn.XLOOKUP($C21,Table1[Countermeasure],Table1[Increase Attentiveness &amp; Awareness])="x","✓","")</f>
        <v>✓</v>
      </c>
      <c r="M21" s="62" t="s">
        <v>48</v>
      </c>
      <c r="N21" s="2" t="str">
        <f>IF(NOT(ISERROR(SEARCH("CMF",_xlfn.XLOOKUP($C21,'CMF source, cost, effectiveness'!$A$2:$A$62,'CMF source, cost, effectiveness'!$G$2:$G$62)))),_xlfn.XLOOKUP($C21,'CMF source, cost, effectiveness'!$A$2:$A$62,'CMF source, cost, effectiveness'!$G$2:$G$62),"")</f>
        <v>CMF 11168</v>
      </c>
      <c r="O21" s="2" t="str">
        <f>IF(_xlfn.XLOOKUP($C21,Table1[Countermeasure],Table1[Proven Safety Countermeasure])="x","Proven Safety Countermeasures",IF(_xlfn.XLOOKUP($C21,Table1[Countermeasure],Table1[Proven Safety Countermeasure])="Toolbox of Pedestrian Countermeasures","Toolbox of Pedestrian Countermeasures",""))</f>
        <v>Proven Safety Countermeasures</v>
      </c>
      <c r="P21" s="62" t="s">
        <v>48</v>
      </c>
      <c r="Q21" s="62" t="s">
        <v>48</v>
      </c>
      <c r="R21" s="2" t="str">
        <f>IF(_xlfn.XLOOKUP($C21,Table1[Countermeasure],Table1[NCHRP 926])="x","NCHRP 926","")</f>
        <v>NCHRP 926</v>
      </c>
      <c r="S21" s="62" t="s">
        <v>48</v>
      </c>
      <c r="T21" s="62" t="s">
        <v>48</v>
      </c>
      <c r="U21" s="31" t="str" cm="1">
        <f t="array" ref="U21">IF(_xlfn.XLOOKUP($C21,Table1[[Countermeasure]:[Countermeasure]],_xlfn.XLOOKUP('Overall Table'!U$1,Table1[[#Headers],[Bike Crashes, intersection turning conflicts]:[Speeding related vehicle crashes]],Table1[[Bike Crashes, intersection turning conflicts]:[Speeding related vehicle crashes]],""),"")="x","✓",IF(_xlfn.XLOOKUP($C21,Table1[Reduce Vehicle Speeds],_xlfn.XLOOKUP('Overall Table'!U$1,Table1[[#Headers],[Bike Crashes, intersection turning conflicts]:[Speeding related vehicle crashes]],Table1[[Bike Crashes, intersection turning conflicts]:[Speeding related vehicle crashes]],""),"")="o","O",""))</f>
        <v>✓</v>
      </c>
      <c r="V21" s="62" t="s">
        <v>48</v>
      </c>
      <c r="W21" s="62" t="s">
        <v>48</v>
      </c>
      <c r="X21" s="62" t="s">
        <v>48</v>
      </c>
      <c r="Y21" s="31" t="str" cm="1">
        <f t="array" ref="Y21">IF(_xlfn.XLOOKUP($C21,Table1[[Countermeasure]:[Countermeasure]],_xlfn.XLOOKUP('Overall Table'!Y$1,Table1[[#Headers],[Bike Crashes, intersection turning conflicts]:[Speeding related vehicle crashes]],Table1[[Bike Crashes, intersection turning conflicts]:[Speeding related vehicle crashes]],""),"")="x","✓",IF(_xlfn.XLOOKUP($C21,Table1[Category (FHWA)],_xlfn.XLOOKUP('Overall Table'!Y$1,Table1[[#Headers],[Bike Crashes, intersection turning conflicts]:[Speeding related vehicle crashes]],Table1[[Bike Crashes, intersection turning conflicts]:[Speeding related vehicle crashes]],""),"")="o","O",""))</f>
        <v>✓</v>
      </c>
      <c r="Z21" s="62" t="s">
        <v>48</v>
      </c>
      <c r="AA21" s="62" t="s">
        <v>48</v>
      </c>
      <c r="AB21" s="62" t="s">
        <v>48</v>
      </c>
      <c r="AC21" s="62" t="s">
        <v>48</v>
      </c>
      <c r="AD21" s="62" t="s">
        <v>48</v>
      </c>
    </row>
    <row r="22" spans="1:30" ht="28.5" thickBot="1" x14ac:dyDescent="0.4">
      <c r="A22" s="32" t="str">
        <f>_xlfn.XLOOKUP(C22,Table1[Countermeasure],Table1[Category (FHWA)],"")</f>
        <v>Pedestrian and Bicyclist</v>
      </c>
      <c r="B22" s="36" t="str">
        <f>_xlfn.XLOOKUP(A22,'Data Validation'!$A$2:$A$6,'Data Validation'!$C$2:$C$6,"")&amp;"."&amp;COUNTIF('Overall Table'!$A$2:A22,'Overall Table'!A22)</f>
        <v>BP.11</v>
      </c>
      <c r="C22" s="33" t="str">
        <f>'CM attributes, relevance'!A22</f>
        <v>High Visibility Crosswalk markings</v>
      </c>
      <c r="D22" s="34"/>
      <c r="E22" s="35" t="str">
        <f>_xlfn.XLOOKUP(C22,'CMF source, cost, effectiveness'!$A$2:$A$101,'CMF source, cost, effectiveness'!$K$2:$K$101,"")</f>
        <v>Low</v>
      </c>
      <c r="F22" s="35" t="str">
        <f>_xlfn.XLOOKUP(C22,'CMF source, cost, effectiveness'!$A$2:$A$66,'CMF source, cost, effectiveness'!$M$2:$M$66,"")</f>
        <v>Less than 1 year</v>
      </c>
      <c r="G22" s="35" t="str">
        <f>_xlfn.XLOOKUP(C22,'CMF source, cost, effectiveness'!$A$2:$A$101,'CMF source, cost, effectiveness'!$L$2:$L$101,"")</f>
        <v>Proven</v>
      </c>
      <c r="H22" s="50" t="str">
        <f>_xlfn.XLOOKUP(C22,Table1[Countermeasure],Table1[Safe System Category],"")</f>
        <v>Safer Roads</v>
      </c>
      <c r="I22" s="62" t="s">
        <v>48</v>
      </c>
      <c r="J22" s="62" t="s">
        <v>48</v>
      </c>
      <c r="K22" s="62" t="s">
        <v>48</v>
      </c>
      <c r="L22" s="1" t="str">
        <f>IF(_xlfn.XLOOKUP($C22,Table1[Countermeasure],Table1[Increase Attentiveness &amp; Awareness])="x","✓","")</f>
        <v>✓</v>
      </c>
      <c r="M22" s="23" t="str">
        <f>IF(OR(_xlfn.XLOOKUP($C22,Table1[Countermeasure],Table1[Signalized Intersection KSI (equity)])="x",_xlfn.XLOOKUP($C22,Table1[Countermeasure],Table1[Bike Crashes, No facility, midblock (equity)])="x",_xlfn.XLOOKUP($C22,Table1[Countermeasure],Table1[Local Intersection, Injury (equity)])="x",_xlfn.XLOOKUP($C22,Table1[Countermeasure],Table1[Posted Speed 40+ mph (equity)])="x"),"✓","")</f>
        <v>✓</v>
      </c>
      <c r="N22" s="62" t="s">
        <v>48</v>
      </c>
      <c r="O22" s="2" t="str">
        <f>IF(_xlfn.XLOOKUP($C22,Table1[Countermeasure],Table1[Proven Safety Countermeasure])="x","Proven Safety Countermeasures",IF(_xlfn.XLOOKUP($C22,Table1[Countermeasure],Table1[Proven Safety Countermeasure])="Toolbox of Pedestrian Countermeasures","Toolbox of Pedestrian Countermeasures",""))</f>
        <v>Proven Safety Countermeasures</v>
      </c>
      <c r="P22" s="62" t="s">
        <v>48</v>
      </c>
      <c r="Q22" s="2" t="str">
        <f>IF(NOT(ISERROR(SEARCH("Big",_xlfn.XLOOKUP($C22,'CMF source, cost, effectiveness'!$A$2:$A$62,'CMF source, cost, effectiveness'!$G$2:$G$62)))),"Minnesota District Safety Plan Big Book of Ideas","")</f>
        <v>Minnesota District Safety Plan Big Book of Ideas</v>
      </c>
      <c r="R22" s="2" t="str">
        <f>IF(_xlfn.XLOOKUP($C22,Table1[Countermeasure],Table1[NCHRP 926])="x","NCHRP 926","")</f>
        <v>NCHRP 926</v>
      </c>
      <c r="S22" s="30" t="str" cm="1">
        <f t="array" ref="S22">IF(_xlfn.XLOOKUP($C22,Table1[[Countermeasure]:[Countermeasure]],_xlfn.XLOOKUP('Overall Table'!S$1,Table1[[#Headers],[Bike Crashes, intersection turning conflicts]:[Speeding related vehicle crashes]],Table1[[Bike Crashes, intersection turning conflicts]:[Speeding related vehicle crashes]],""),"")="x","✓",IF(_xlfn.XLOOKUP($C22,Table1[Countermeasure],_xlfn.XLOOKUP('Overall Table'!S$1,Table1[[#Headers],[Bike Crashes, intersection turning conflicts]:[Speeding related vehicle crashes]],Table1[[Bike Crashes, intersection turning conflicts]:[Speeding related vehicle crashes]],""),"")="o","O",""))</f>
        <v>✓</v>
      </c>
      <c r="T22" s="31" t="str" cm="1">
        <f t="array" ref="T22">IF(_xlfn.XLOOKUP($C22,Table1[[Countermeasure]:[Countermeasure]],_xlfn.XLOOKUP('Overall Table'!T$1,Table1[[#Headers],[Bike Crashes, intersection turning conflicts]:[Speeding related vehicle crashes]],Table1[[Bike Crashes, intersection turning conflicts]:[Speeding related vehicle crashes]],""),"")="x","✓",IF(_xlfn.XLOOKUP($C22,Table1[Remove Severe Conflicts],_xlfn.XLOOKUP('Overall Table'!T$1,Table1[[#Headers],[Bike Crashes, intersection turning conflicts]:[Speeding related vehicle crashes]],Table1[[Bike Crashes, intersection turning conflicts]:[Speeding related vehicle crashes]],""),"")="o","O",""))</f>
        <v>✓</v>
      </c>
      <c r="U22" s="62" t="s">
        <v>48</v>
      </c>
      <c r="V22" s="31" t="str" cm="1">
        <f t="array" ref="V22">IF(_xlfn.XLOOKUP($C22,Table1[[Countermeasure]:[Countermeasure]],_xlfn.XLOOKUP('Overall Table'!V$1,Table1[[#Headers],[Bike Crashes, intersection turning conflicts]:[Speeding related vehicle crashes]],Table1[[Bike Crashes, intersection turning conflicts]:[Speeding related vehicle crashes]],""),"")="x","✓",IF(_xlfn.XLOOKUP($C22,Table1[Manage Conflicts in Time],_xlfn.XLOOKUP('Overall Table'!V$1,Table1[[#Headers],[Bike Crashes, intersection turning conflicts]:[Speeding related vehicle crashes]],Table1[[Bike Crashes, intersection turning conflicts]:[Speeding related vehicle crashes]],""),"")="o","O",""))</f>
        <v>✓</v>
      </c>
      <c r="W22" s="62" t="s">
        <v>48</v>
      </c>
      <c r="X22" s="31" t="str" cm="1">
        <f t="array" ref="X22">IF(_xlfn.XLOOKUP($C22,Table1[[Countermeasure]:[Countermeasure]],_xlfn.XLOOKUP('Overall Table'!X$1,Table1[[#Headers],[Bike Crashes, intersection turning conflicts]:[Speeding related vehicle crashes]],Table1[[Bike Crashes, intersection turning conflicts]:[Speeding related vehicle crashes]],""),"")="x","✓",IF(_xlfn.XLOOKUP($C22,Table1[FHWA helper],_xlfn.XLOOKUP('Overall Table'!X$1,Table1[[#Headers],[Bike Crashes, intersection turning conflicts]:[Speeding related vehicle crashes]],Table1[[Bike Crashes, intersection turning conflicts]:[Speeding related vehicle crashes]],""),"")="o","O",""))</f>
        <v>✓</v>
      </c>
      <c r="Y22" s="31" t="str" cm="1">
        <f t="array" ref="Y22">IF(_xlfn.XLOOKUP($C22,Table1[[Countermeasure]:[Countermeasure]],_xlfn.XLOOKUP('Overall Table'!Y$1,Table1[[#Headers],[Bike Crashes, intersection turning conflicts]:[Speeding related vehicle crashes]],Table1[[Bike Crashes, intersection turning conflicts]:[Speeding related vehicle crashes]],""),"")="x","✓",IF(_xlfn.XLOOKUP($C22,Table1[Category (FHWA)],_xlfn.XLOOKUP('Overall Table'!Y$1,Table1[[#Headers],[Bike Crashes, intersection turning conflicts]:[Speeding related vehicle crashes]],Table1[[Bike Crashes, intersection turning conflicts]:[Speeding related vehicle crashes]],""),"")="o","O",""))</f>
        <v>✓</v>
      </c>
      <c r="Z22" s="31" t="str" cm="1">
        <f t="array" ref="Z22">IF(_xlfn.XLOOKUP($C22,Table1[[Countermeasure]:[Countermeasure]],_xlfn.XLOOKUP('Overall Table'!Z$1,Table1[[#Headers],[Bike Crashes, intersection turning conflicts]:[Speeding related vehicle crashes]],Table1[[Bike Crashes, intersection turning conflicts]:[Speeding related vehicle crashes]],""),"")="x","✓",IF(_xlfn.XLOOKUP($C22,Table1[Proven Safety Countermeasure],_xlfn.XLOOKUP('Overall Table'!Z$1,Table1[[#Headers],[Bike Crashes, intersection turning conflicts]:[Speeding related vehicle crashes]],Table1[[Bike Crashes, intersection turning conflicts]:[Speeding related vehicle crashes]],""),"")="o","O",""))</f>
        <v>✓</v>
      </c>
      <c r="AA22" s="31" t="str" cm="1">
        <f t="array" ref="AA22">IF(_xlfn.XLOOKUP($C22,Table1[[Countermeasure]:[Countermeasure]],_xlfn.XLOOKUP('Overall Table'!AA$1,Table1[[#Headers],[Bike Crashes, intersection turning conflicts]:[Speeding related vehicle crashes]],Table1[[Bike Crashes, intersection turning conflicts]:[Speeding related vehicle crashes]],""),"")="x","✓",IF(_xlfn.XLOOKUP($C22,Table1[MnDOT District Roadway Safety "Big Book of Ideas"],_xlfn.XLOOKUP('Overall Table'!AA$1,Table1[[#Headers],[Bike Crashes, intersection turning conflicts]:[Speeding related vehicle crashes]],Table1[[Bike Crashes, intersection turning conflicts]:[Speeding related vehicle crashes]],""),"")="o","O",""))</f>
        <v>✓</v>
      </c>
      <c r="AB22" s="31" t="str" cm="1">
        <f t="array" ref="AB22">IF(_xlfn.XLOOKUP($C22,Table1[[Countermeasure]:[Countermeasure]],_xlfn.XLOOKUP('Overall Table'!AB$1,Table1[[#Headers],[Bike Crashes, intersection turning conflicts]:[Speeding related vehicle crashes]],Table1[[Bike Crashes, intersection turning conflicts]:[Speeding related vehicle crashes]],""),"")="x","✓",IF(_xlfn.XLOOKUP($C22,Table1[NCHRP 926],_xlfn.XLOOKUP('Overall Table'!AB$1,Table1[[#Headers],[Bike Crashes, intersection turning conflicts]:[Speeding related vehicle crashes]],Table1[[Bike Crashes, intersection turning conflicts]:[Speeding related vehicle crashes]],""),"")="o","O",""))</f>
        <v>✓</v>
      </c>
      <c r="AC22" s="62" t="s">
        <v>48</v>
      </c>
      <c r="AD22" s="62" t="s">
        <v>48</v>
      </c>
    </row>
    <row r="23" spans="1:30" ht="38" thickBot="1" x14ac:dyDescent="0.4">
      <c r="A23" s="32" t="str">
        <f>_xlfn.XLOOKUP(C23,Table1[Countermeasure],Table1[Category (FHWA)],"")</f>
        <v>Pedestrian and Bicyclist</v>
      </c>
      <c r="B23" s="36" t="str">
        <f>_xlfn.XLOOKUP(A23,'Data Validation'!$A$2:$A$6,'Data Validation'!$C$2:$C$6,"")&amp;"."&amp;COUNTIF('Overall Table'!$A$2:A23,'Overall Table'!A23)</f>
        <v>BP.12</v>
      </c>
      <c r="C23" s="33" t="str">
        <f>'CM attributes, relevance'!A23</f>
        <v>Promote Bicycle Helmet Use with Education</v>
      </c>
      <c r="D23" s="34"/>
      <c r="E23" s="35" t="str">
        <f>_xlfn.XLOOKUP(C23,'CMF source, cost, effectiveness'!$A$2:$A$101,'CMF source, cost, effectiveness'!$K$2:$K$101,"")</f>
        <v>Moderate</v>
      </c>
      <c r="F23" s="35" t="str">
        <f>_xlfn.XLOOKUP(C23,'CMF source, cost, effectiveness'!$A$2:$A$66,'CMF source, cost, effectiveness'!$M$2:$M$66,"")</f>
        <v>1 - 2 years</v>
      </c>
      <c r="G23" s="35" t="str">
        <f>_xlfn.XLOOKUP(C23,'CMF source, cost, effectiveness'!$A$2:$A$101,'CMF source, cost, effectiveness'!$L$2:$L$101,"")</f>
        <v>Tried</v>
      </c>
      <c r="H23" s="50" t="str">
        <f>_xlfn.XLOOKUP(C23,Table1[Countermeasure],Table1[Safe System Category],"")</f>
        <v>Safer People</v>
      </c>
      <c r="I23" s="62" t="s">
        <v>48</v>
      </c>
      <c r="J23" s="62" t="s">
        <v>48</v>
      </c>
      <c r="K23" s="62" t="s">
        <v>48</v>
      </c>
      <c r="L23" s="62" t="s">
        <v>48</v>
      </c>
      <c r="M23" s="23" t="str">
        <f>IF(OR(_xlfn.XLOOKUP($C23,Table1[Countermeasure],Table1[Signalized Intersection KSI (equity)])="x",_xlfn.XLOOKUP($C23,Table1[Countermeasure],Table1[Bike Crashes, No facility, midblock (equity)])="x",_xlfn.XLOOKUP($C23,Table1[Countermeasure],Table1[Local Intersection, Injury (equity)])="x",_xlfn.XLOOKUP($C23,Table1[Countermeasure],Table1[Posted Speed 40+ mph (equity)])="x"),"✓","")</f>
        <v>✓</v>
      </c>
      <c r="N23" s="62" t="s">
        <v>48</v>
      </c>
      <c r="O23" s="62" t="s">
        <v>48</v>
      </c>
      <c r="P23" s="2" t="str">
        <f>IF((_xlfn.XLOOKUP($C23,Table1[Countermeasure],Table1[NHTSA Countermeasures that Work])="x"),"NHTSA Countermeasures that Work","")</f>
        <v>NHTSA Countermeasures that Work</v>
      </c>
      <c r="Q23" s="62" t="s">
        <v>48</v>
      </c>
      <c r="R23" s="62" t="s">
        <v>48</v>
      </c>
      <c r="S23" s="30" t="str" cm="1">
        <f t="array" ref="S23">IF(_xlfn.XLOOKUP($C23,Table1[[Countermeasure]:[Countermeasure]],_xlfn.XLOOKUP('Overall Table'!S$1,Table1[[#Headers],[Bike Crashes, intersection turning conflicts]:[Speeding related vehicle crashes]],Table1[[Bike Crashes, intersection turning conflicts]:[Speeding related vehicle crashes]],""),"")="x","✓",IF(_xlfn.XLOOKUP($C23,Table1[Countermeasure],_xlfn.XLOOKUP('Overall Table'!S$1,Table1[[#Headers],[Bike Crashes, intersection turning conflicts]:[Speeding related vehicle crashes]],Table1[[Bike Crashes, intersection turning conflicts]:[Speeding related vehicle crashes]],""),"")="o","O",""))</f>
        <v>✓</v>
      </c>
      <c r="T23" s="62" t="s">
        <v>48</v>
      </c>
      <c r="U23" s="62" t="s">
        <v>48</v>
      </c>
      <c r="V23" s="62" t="s">
        <v>48</v>
      </c>
      <c r="W23" s="31" t="str" cm="1">
        <f t="array" ref="W23">IF(_xlfn.XLOOKUP($C23,Table1[[Countermeasure]:[Countermeasure]],_xlfn.XLOOKUP('Overall Table'!W$1,Table1[[#Headers],[Bike Crashes, intersection turning conflicts]:[Speeding related vehicle crashes]],Table1[[Bike Crashes, intersection turning conflicts]:[Speeding related vehicle crashes]],""),"")="x","✓",IF(_xlfn.XLOOKUP($C23,Table1[Increase Attentiveness &amp; Awareness],_xlfn.XLOOKUP('Overall Table'!W$1,Table1[[#Headers],[Bike Crashes, intersection turning conflicts]:[Speeding related vehicle crashes]],Table1[[Bike Crashes, intersection turning conflicts]:[Speeding related vehicle crashes]],""),"")="o","O",""))</f>
        <v>✓</v>
      </c>
      <c r="X23" s="31" t="str" cm="1">
        <f t="array" ref="X23">IF(_xlfn.XLOOKUP($C23,Table1[[Countermeasure]:[Countermeasure]],_xlfn.XLOOKUP('Overall Table'!X$1,Table1[[#Headers],[Bike Crashes, intersection turning conflicts]:[Speeding related vehicle crashes]],Table1[[Bike Crashes, intersection turning conflicts]:[Speeding related vehicle crashes]],""),"")="x","✓",IF(_xlfn.XLOOKUP($C23,Table1[FHWA helper],_xlfn.XLOOKUP('Overall Table'!X$1,Table1[[#Headers],[Bike Crashes, intersection turning conflicts]:[Speeding related vehicle crashes]],Table1[[Bike Crashes, intersection turning conflicts]:[Speeding related vehicle crashes]],""),"")="o","O",""))</f>
        <v>✓</v>
      </c>
      <c r="Y23" s="62" t="s">
        <v>48</v>
      </c>
      <c r="Z23" s="62" t="s">
        <v>48</v>
      </c>
      <c r="AA23" s="62" t="s">
        <v>48</v>
      </c>
      <c r="AB23" s="62" t="s">
        <v>48</v>
      </c>
      <c r="AC23" s="62" t="s">
        <v>48</v>
      </c>
      <c r="AD23" s="62" t="s">
        <v>48</v>
      </c>
    </row>
    <row r="24" spans="1:30" ht="38" thickBot="1" x14ac:dyDescent="0.4">
      <c r="A24" s="32" t="str">
        <f>_xlfn.XLOOKUP(C24,Table1[Countermeasure],Table1[Category (FHWA)],"")</f>
        <v>Pedestrian and Bicyclist</v>
      </c>
      <c r="B24" s="36" t="str">
        <f>_xlfn.XLOOKUP(A24,'Data Validation'!$A$2:$A$6,'Data Validation'!$C$2:$C$6,"")&amp;"."&amp;COUNTIF('Overall Table'!$A$2:A24,'Overall Table'!A24)</f>
        <v>BP.13</v>
      </c>
      <c r="C24" s="33" t="str">
        <f>'CM attributes, relevance'!A24</f>
        <v>Safe Routes to School</v>
      </c>
      <c r="D24" s="34"/>
      <c r="E24" s="35" t="str">
        <f>_xlfn.XLOOKUP(C24,'CMF source, cost, effectiveness'!$A$2:$A$101,'CMF source, cost, effectiveness'!$K$2:$K$101,"")</f>
        <v>High</v>
      </c>
      <c r="F24" s="35" t="str">
        <f>_xlfn.XLOOKUP(C24,'CMF source, cost, effectiveness'!$A$2:$A$66,'CMF source, cost, effectiveness'!$M$2:$M$66,"")</f>
        <v>1 - 2 years</v>
      </c>
      <c r="G24" s="35" t="str">
        <f>_xlfn.XLOOKUP(C24,'CMF source, cost, effectiveness'!$A$2:$A$101,'CMF source, cost, effectiveness'!$L$2:$L$101,"")</f>
        <v>Documented</v>
      </c>
      <c r="H24" s="50" t="str">
        <f>_xlfn.XLOOKUP(C24,Table1[Countermeasure],Table1[Safe System Category],"")</f>
        <v>Safer People</v>
      </c>
      <c r="I24" s="62" t="s">
        <v>48</v>
      </c>
      <c r="J24" s="62" t="s">
        <v>48</v>
      </c>
      <c r="K24" s="62" t="s">
        <v>48</v>
      </c>
      <c r="L24" s="62" t="s">
        <v>48</v>
      </c>
      <c r="M24" s="23" t="str">
        <f>IF(OR(_xlfn.XLOOKUP($C24,Table1[Countermeasure],Table1[Signalized Intersection KSI (equity)])="x",_xlfn.XLOOKUP($C24,Table1[Countermeasure],Table1[Bike Crashes, No facility, midblock (equity)])="x",_xlfn.XLOOKUP($C24,Table1[Countermeasure],Table1[Local Intersection, Injury (equity)])="x",_xlfn.XLOOKUP($C24,Table1[Countermeasure],Table1[Posted Speed 40+ mph (equity)])="x"),"✓","")</f>
        <v>✓</v>
      </c>
      <c r="N24" s="62" t="s">
        <v>48</v>
      </c>
      <c r="O24" s="62" t="s">
        <v>48</v>
      </c>
      <c r="P24" s="2" t="str">
        <f>IF((_xlfn.XLOOKUP($C24,Table1[Countermeasure],Table1[NHTSA Countermeasures that Work])="x"),"NHTSA Countermeasures that Work","")</f>
        <v>NHTSA Countermeasures that Work</v>
      </c>
      <c r="Q24" s="62" t="s">
        <v>48</v>
      </c>
      <c r="R24" s="62" t="s">
        <v>48</v>
      </c>
      <c r="S24" s="30" t="str" cm="1">
        <f t="array" ref="S24">IF(_xlfn.XLOOKUP($C24,Table1[[Countermeasure]:[Countermeasure]],_xlfn.XLOOKUP('Overall Table'!S$1,Table1[[#Headers],[Bike Crashes, intersection turning conflicts]:[Speeding related vehicle crashes]],Table1[[Bike Crashes, intersection turning conflicts]:[Speeding related vehicle crashes]],""),"")="x","✓",IF(_xlfn.XLOOKUP($C24,Table1[Countermeasure],_xlfn.XLOOKUP('Overall Table'!S$1,Table1[[#Headers],[Bike Crashes, intersection turning conflicts]:[Speeding related vehicle crashes]],Table1[[Bike Crashes, intersection turning conflicts]:[Speeding related vehicle crashes]],""),"")="o","O",""))</f>
        <v>✓</v>
      </c>
      <c r="T24" s="62" t="s">
        <v>48</v>
      </c>
      <c r="U24" s="62" t="s">
        <v>48</v>
      </c>
      <c r="V24" s="62" t="s">
        <v>48</v>
      </c>
      <c r="W24" s="31" t="str" cm="1">
        <f t="array" ref="W24">IF(_xlfn.XLOOKUP($C24,Table1[[Countermeasure]:[Countermeasure]],_xlfn.XLOOKUP('Overall Table'!W$1,Table1[[#Headers],[Bike Crashes, intersection turning conflicts]:[Speeding related vehicle crashes]],Table1[[Bike Crashes, intersection turning conflicts]:[Speeding related vehicle crashes]],""),"")="x","✓",IF(_xlfn.XLOOKUP($C24,Table1[Increase Attentiveness &amp; Awareness],_xlfn.XLOOKUP('Overall Table'!W$1,Table1[[#Headers],[Bike Crashes, intersection turning conflicts]:[Speeding related vehicle crashes]],Table1[[Bike Crashes, intersection turning conflicts]:[Speeding related vehicle crashes]],""),"")="o","O",""))</f>
        <v>✓</v>
      </c>
      <c r="X24" s="31" t="str" cm="1">
        <f t="array" ref="X24">IF(_xlfn.XLOOKUP($C24,Table1[[Countermeasure]:[Countermeasure]],_xlfn.XLOOKUP('Overall Table'!X$1,Table1[[#Headers],[Bike Crashes, intersection turning conflicts]:[Speeding related vehicle crashes]],Table1[[Bike Crashes, intersection turning conflicts]:[Speeding related vehicle crashes]],""),"")="x","✓",IF(_xlfn.XLOOKUP($C24,Table1[FHWA helper],_xlfn.XLOOKUP('Overall Table'!X$1,Table1[[#Headers],[Bike Crashes, intersection turning conflicts]:[Speeding related vehicle crashes]],Table1[[Bike Crashes, intersection turning conflicts]:[Speeding related vehicle crashes]],""),"")="o","O",""))</f>
        <v>✓</v>
      </c>
      <c r="Y24" s="62" t="s">
        <v>48</v>
      </c>
      <c r="Z24" s="62" t="s">
        <v>48</v>
      </c>
      <c r="AA24" s="62" t="s">
        <v>48</v>
      </c>
      <c r="AB24" s="62" t="s">
        <v>48</v>
      </c>
      <c r="AC24" s="62" t="s">
        <v>48</v>
      </c>
      <c r="AD24" s="62" t="s">
        <v>48</v>
      </c>
    </row>
    <row r="25" spans="1:30" ht="25.5" thickBot="1" x14ac:dyDescent="0.4">
      <c r="A25" s="32" t="str">
        <f>_xlfn.XLOOKUP(C25,Table1[Countermeasure],Table1[Category (FHWA)],"")</f>
        <v>Roadway Departure</v>
      </c>
      <c r="B25" s="36" t="str">
        <f>_xlfn.XLOOKUP(A25,'Data Validation'!$A$2:$A$6,'Data Validation'!$C$2:$C$6,"")&amp;"."&amp;COUNTIF('Overall Table'!$A$2:A25,'Overall Table'!A25)</f>
        <v>RD.1</v>
      </c>
      <c r="C25" s="33" t="str">
        <f>'CM attributes, relevance'!A25</f>
        <v>Safety edge (rural roadways)</v>
      </c>
      <c r="D25" s="34"/>
      <c r="E25" s="35" t="str">
        <f>_xlfn.XLOOKUP(C25,'CMF source, cost, effectiveness'!$A$2:$A$101,'CMF source, cost, effectiveness'!$K$2:$K$101,"")</f>
        <v>Low</v>
      </c>
      <c r="F25" s="35" t="str">
        <f>_xlfn.XLOOKUP(C25,'CMF source, cost, effectiveness'!$A$2:$A$66,'CMF source, cost, effectiveness'!$M$2:$M$66,"")</f>
        <v>1 - 2 years</v>
      </c>
      <c r="G25" s="35" t="str">
        <f>_xlfn.XLOOKUP(C25,'CMF source, cost, effectiveness'!$A$2:$A$101,'CMF source, cost, effectiveness'!$L$2:$L$101,"")</f>
        <v>Proven</v>
      </c>
      <c r="H25" s="50" t="str">
        <f>_xlfn.XLOOKUP(C25,Table1[Countermeasure],Table1[Safe System Category],"")</f>
        <v>Safer Roads</v>
      </c>
      <c r="I25" s="1" t="str">
        <f>IF(_xlfn.XLOOKUP($C25,Table1[Countermeasure],Table1[Remove Severe Conflicts])="x","✓","")</f>
        <v>✓</v>
      </c>
      <c r="J25" s="62" t="s">
        <v>48</v>
      </c>
      <c r="K25" s="62" t="s">
        <v>48</v>
      </c>
      <c r="L25" s="62" t="s">
        <v>48</v>
      </c>
      <c r="M25" s="23" t="str">
        <f>IF(OR(_xlfn.XLOOKUP($C25,Table1[Countermeasure],Table1[Signalized Intersection KSI (equity)])="x",_xlfn.XLOOKUP($C25,Table1[Countermeasure],Table1[Bike Crashes, No facility, midblock (equity)])="x",_xlfn.XLOOKUP($C25,Table1[Countermeasure],Table1[Local Intersection, Injury (equity)])="x",_xlfn.XLOOKUP($C25,Table1[Countermeasure],Table1[Posted Speed 40+ mph (equity)])="x"),"✓","")</f>
        <v>✓</v>
      </c>
      <c r="N25" s="2" t="str">
        <f>IF(NOT(ISERROR(SEARCH("CMF",_xlfn.XLOOKUP($C25,'CMF source, cost, effectiveness'!$A$2:$A$62,'CMF source, cost, effectiveness'!$G$2:$G$62)))),_xlfn.XLOOKUP($C25,'CMF source, cost, effectiveness'!$A$2:$A$62,'CMF source, cost, effectiveness'!$G$2:$G$62),"")</f>
        <v>CMF 9211</v>
      </c>
      <c r="O25" s="2" t="str">
        <f>IF(_xlfn.XLOOKUP($C25,Table1[Countermeasure],Table1[Proven Safety Countermeasure])="x","Proven Safety Countermeasures",IF(_xlfn.XLOOKUP($C25,Table1[Countermeasure],Table1[Proven Safety Countermeasure])="Toolbox of Pedestrian Countermeasures","Toolbox of Pedestrian Countermeasures",""))</f>
        <v>Proven Safety Countermeasures</v>
      </c>
      <c r="P25" s="62" t="s">
        <v>48</v>
      </c>
      <c r="Q25" s="62" t="s">
        <v>48</v>
      </c>
      <c r="R25" s="62" t="s">
        <v>48</v>
      </c>
      <c r="S25" s="62" t="s">
        <v>48</v>
      </c>
      <c r="T25" s="62" t="s">
        <v>48</v>
      </c>
      <c r="U25" s="31" t="str" cm="1">
        <f t="array" ref="U25">IF(_xlfn.XLOOKUP($C25,Table1[[Countermeasure]:[Countermeasure]],_xlfn.XLOOKUP('Overall Table'!U$1,Table1[[#Headers],[Bike Crashes, intersection turning conflicts]:[Speeding related vehicle crashes]],Table1[[Bike Crashes, intersection turning conflicts]:[Speeding related vehicle crashes]],""),"")="x","✓",IF(_xlfn.XLOOKUP($C25,Table1[Reduce Vehicle Speeds],_xlfn.XLOOKUP('Overall Table'!U$1,Table1[[#Headers],[Bike Crashes, intersection turning conflicts]:[Speeding related vehicle crashes]],Table1[[Bike Crashes, intersection turning conflicts]:[Speeding related vehicle crashes]],""),"")="o","O",""))</f>
        <v>✓</v>
      </c>
      <c r="V25" s="62" t="s">
        <v>48</v>
      </c>
      <c r="W25" s="62" t="s">
        <v>48</v>
      </c>
      <c r="X25" s="62" t="s">
        <v>48</v>
      </c>
      <c r="Y25" s="62" t="s">
        <v>48</v>
      </c>
      <c r="Z25" s="62" t="s">
        <v>48</v>
      </c>
      <c r="AA25" s="62" t="s">
        <v>48</v>
      </c>
      <c r="AB25" s="31" t="str" cm="1">
        <f t="array" ref="AB25">IF(_xlfn.XLOOKUP($C25,Table1[[Countermeasure]:[Countermeasure]],_xlfn.XLOOKUP('Overall Table'!AB$1,Table1[[#Headers],[Bike Crashes, intersection turning conflicts]:[Speeding related vehicle crashes]],Table1[[Bike Crashes, intersection turning conflicts]:[Speeding related vehicle crashes]],""),"")="x","✓",IF(_xlfn.XLOOKUP($C25,Table1[NCHRP 926],_xlfn.XLOOKUP('Overall Table'!AB$1,Table1[[#Headers],[Bike Crashes, intersection turning conflicts]:[Speeding related vehicle crashes]],Table1[[Bike Crashes, intersection turning conflicts]:[Speeding related vehicle crashes]],""),"")="o","O",""))</f>
        <v>✓</v>
      </c>
      <c r="AC25" s="31" t="str" cm="1">
        <f t="array" ref="AC25">IF(_xlfn.XLOOKUP($C25,Table1[[Countermeasure]:[Countermeasure]],_xlfn.XLOOKUP('Overall Table'!AC$1,Table1[[#Headers],[Bike Crashes, intersection turning conflicts]:[Speeding related vehicle crashes]],Table1[[Bike Crashes, intersection turning conflicts]:[Speeding related vehicle crashes]],""),"")="x","✓",IF(_xlfn.XLOOKUP($C25,Table1[NCHRP 1033],_xlfn.XLOOKUP('Overall Table'!AC$1,Table1[[#Headers],[Bike Crashes, intersection turning conflicts]:[Speeding related vehicle crashes]],Table1[[Bike Crashes, intersection turning conflicts]:[Speeding related vehicle crashes]],""),"")="o","O",""))</f>
        <v>✓</v>
      </c>
      <c r="AD25" s="62" t="s">
        <v>48</v>
      </c>
    </row>
    <row r="26" spans="1:30" ht="15" thickBot="1" x14ac:dyDescent="0.4">
      <c r="A26" s="32" t="str">
        <f>_xlfn.XLOOKUP(C26,Table1[Countermeasure],Table1[Category (FHWA)],"")</f>
        <v>Roadway Departure</v>
      </c>
      <c r="B26" s="36" t="str">
        <f>_xlfn.XLOOKUP(A26,'Data Validation'!$A$2:$A$6,'Data Validation'!$C$2:$C$6,"")&amp;"."&amp;COUNTIF('Overall Table'!$A$2:A26,'Overall Table'!A26)</f>
        <v>RD.2</v>
      </c>
      <c r="C26" s="33" t="str">
        <f>'CM attributes, relevance'!A26</f>
        <v>Widen shoulders (to 5 feet or wider)</v>
      </c>
      <c r="D26" s="34"/>
      <c r="E26" s="35" t="str">
        <f>_xlfn.XLOOKUP(C26,'CMF source, cost, effectiveness'!$A$2:$A$101,'CMF source, cost, effectiveness'!$K$2:$K$101,"")</f>
        <v>High</v>
      </c>
      <c r="F26" s="35" t="str">
        <f>_xlfn.XLOOKUP(C26,'CMF source, cost, effectiveness'!$A$2:$A$66,'CMF source, cost, effectiveness'!$M$2:$M$66,"")</f>
        <v>1 - 2 years</v>
      </c>
      <c r="G26" s="35" t="str">
        <f>_xlfn.XLOOKUP(C26,'CMF source, cost, effectiveness'!$A$2:$A$101,'CMF source, cost, effectiveness'!$L$2:$L$101,"")</f>
        <v>Documented</v>
      </c>
      <c r="H26" s="50" t="str">
        <f>_xlfn.XLOOKUP(C26,Table1[Countermeasure],Table1[Safe System Category],"")</f>
        <v>Safer Roads</v>
      </c>
      <c r="I26" s="1" t="str">
        <f>IF(_xlfn.XLOOKUP($C26,Table1[Countermeasure],Table1[Remove Severe Conflicts])="x","✓","")</f>
        <v>✓</v>
      </c>
      <c r="J26" s="62" t="s">
        <v>48</v>
      </c>
      <c r="K26" s="62" t="s">
        <v>48</v>
      </c>
      <c r="L26" s="62" t="s">
        <v>48</v>
      </c>
      <c r="M26" s="23" t="str">
        <f>IF(OR(_xlfn.XLOOKUP($C26,Table1[Countermeasure],Table1[Signalized Intersection KSI (equity)])="x",_xlfn.XLOOKUP($C26,Table1[Countermeasure],Table1[Bike Crashes, No facility, midblock (equity)])="x",_xlfn.XLOOKUP($C26,Table1[Countermeasure],Table1[Local Intersection, Injury (equity)])="x",_xlfn.XLOOKUP($C26,Table1[Countermeasure],Table1[Posted Speed 40+ mph (equity)])="x"),"✓","")</f>
        <v>✓</v>
      </c>
      <c r="N26" s="2" t="str">
        <f>IF(NOT(ISERROR(SEARCH("CMF",_xlfn.XLOOKUP($C26,'CMF source, cost, effectiveness'!$A$2:$A$62,'CMF source, cost, effectiveness'!$G$2:$G$62)))),_xlfn.XLOOKUP($C26,'CMF source, cost, effectiveness'!$A$2:$A$62,'CMF source, cost, effectiveness'!$G$2:$G$62),"")</f>
        <v>CMF 3653</v>
      </c>
      <c r="O26" s="62" t="s">
        <v>48</v>
      </c>
      <c r="P26" s="62" t="s">
        <v>48</v>
      </c>
      <c r="Q26" s="62" t="s">
        <v>48</v>
      </c>
      <c r="R26" s="62" t="s">
        <v>48</v>
      </c>
      <c r="S26" s="62" t="s">
        <v>48</v>
      </c>
      <c r="T26" s="62" t="s">
        <v>48</v>
      </c>
      <c r="U26" s="31" t="str" cm="1">
        <f t="array" ref="U26">IF(_xlfn.XLOOKUP($C26,Table1[[Countermeasure]:[Countermeasure]],_xlfn.XLOOKUP('Overall Table'!U$1,Table1[[#Headers],[Bike Crashes, intersection turning conflicts]:[Speeding related vehicle crashes]],Table1[[Bike Crashes, intersection turning conflicts]:[Speeding related vehicle crashes]],""),"")="x","✓",IF(_xlfn.XLOOKUP($C26,Table1[Reduce Vehicle Speeds],_xlfn.XLOOKUP('Overall Table'!U$1,Table1[[#Headers],[Bike Crashes, intersection turning conflicts]:[Speeding related vehicle crashes]],Table1[[Bike Crashes, intersection turning conflicts]:[Speeding related vehicle crashes]],""),"")="o","O",""))</f>
        <v>✓</v>
      </c>
      <c r="V26" s="62" t="s">
        <v>48</v>
      </c>
      <c r="W26" s="31" t="str" cm="1">
        <f t="array" ref="W26">IF(_xlfn.XLOOKUP($C26,Table1[[Countermeasure]:[Countermeasure]],_xlfn.XLOOKUP('Overall Table'!W$1,Table1[[#Headers],[Bike Crashes, intersection turning conflicts]:[Speeding related vehicle crashes]],Table1[[Bike Crashes, intersection turning conflicts]:[Speeding related vehicle crashes]],""),"")="x","✓",IF(_xlfn.XLOOKUP($C26,Table1[Increase Attentiveness &amp; Awareness],_xlfn.XLOOKUP('Overall Table'!W$1,Table1[[#Headers],[Bike Crashes, intersection turning conflicts]:[Speeding related vehicle crashes]],Table1[[Bike Crashes, intersection turning conflicts]:[Speeding related vehicle crashes]],""),"")="o","O",""))</f>
        <v>✓</v>
      </c>
      <c r="X26" s="62" t="s">
        <v>48</v>
      </c>
      <c r="Y26" s="62" t="s">
        <v>48</v>
      </c>
      <c r="Z26" s="62" t="s">
        <v>48</v>
      </c>
      <c r="AA26" s="62" t="s">
        <v>48</v>
      </c>
      <c r="AB26" s="31" t="str" cm="1">
        <f t="array" ref="AB26">IF(_xlfn.XLOOKUP($C26,Table1[[Countermeasure]:[Countermeasure]],_xlfn.XLOOKUP('Overall Table'!AB$1,Table1[[#Headers],[Bike Crashes, intersection turning conflicts]:[Speeding related vehicle crashes]],Table1[[Bike Crashes, intersection turning conflicts]:[Speeding related vehicle crashes]],""),"")="x","✓",IF(_xlfn.XLOOKUP($C26,Table1[NCHRP 926],_xlfn.XLOOKUP('Overall Table'!AB$1,Table1[[#Headers],[Bike Crashes, intersection turning conflicts]:[Speeding related vehicle crashes]],Table1[[Bike Crashes, intersection turning conflicts]:[Speeding related vehicle crashes]],""),"")="o","O",""))</f>
        <v>✓</v>
      </c>
      <c r="AC26" s="31" t="str" cm="1">
        <f t="array" ref="AC26">IF(_xlfn.XLOOKUP($C26,Table1[[Countermeasure]:[Countermeasure]],_xlfn.XLOOKUP('Overall Table'!AC$1,Table1[[#Headers],[Bike Crashes, intersection turning conflicts]:[Speeding related vehicle crashes]],Table1[[Bike Crashes, intersection turning conflicts]:[Speeding related vehicle crashes]],""),"")="x","✓",IF(_xlfn.XLOOKUP($C26,Table1[NCHRP 1033],_xlfn.XLOOKUP('Overall Table'!AC$1,Table1[[#Headers],[Bike Crashes, intersection turning conflicts]:[Speeding related vehicle crashes]],Table1[[Bike Crashes, intersection turning conflicts]:[Speeding related vehicle crashes]],""),"")="o","O",""))</f>
        <v>✓</v>
      </c>
      <c r="AD26" s="62" t="s">
        <v>48</v>
      </c>
    </row>
    <row r="27" spans="1:30" ht="25.5" thickBot="1" x14ac:dyDescent="0.4">
      <c r="A27" s="32" t="str">
        <f>_xlfn.XLOOKUP(C27,Table1[Countermeasure],Table1[Category (FHWA)],"")</f>
        <v>Roadway Departure</v>
      </c>
      <c r="B27" s="36" t="str">
        <f>_xlfn.XLOOKUP(A27,'Data Validation'!$A$2:$A$6,'Data Validation'!$C$2:$C$6,"")&amp;"."&amp;COUNTIF('Overall Table'!$A$2:A27,'Overall Table'!A27)</f>
        <v>RD.3</v>
      </c>
      <c r="C27" s="33" t="str">
        <f>'CM attributes, relevance'!A27</f>
        <v>Side slope enhancements</v>
      </c>
      <c r="D27" s="34"/>
      <c r="E27" s="35" t="str">
        <f>_xlfn.XLOOKUP(C27,'CMF source, cost, effectiveness'!$A$2:$A$101,'CMF source, cost, effectiveness'!$K$2:$K$101,"")</f>
        <v>High</v>
      </c>
      <c r="F27" s="35" t="str">
        <f>_xlfn.XLOOKUP(C27,'CMF source, cost, effectiveness'!$A$2:$A$66,'CMF source, cost, effectiveness'!$M$2:$M$66,"")</f>
        <v>1 - 2 years</v>
      </c>
      <c r="G27" s="35" t="str">
        <f>_xlfn.XLOOKUP(C27,'CMF source, cost, effectiveness'!$A$2:$A$101,'CMF source, cost, effectiveness'!$L$2:$L$101,"")</f>
        <v>Proven</v>
      </c>
      <c r="H27" s="50" t="str">
        <f>_xlfn.XLOOKUP(C27,Table1[Countermeasure],Table1[Safe System Category],"")</f>
        <v>Safer Roads</v>
      </c>
      <c r="I27" s="1" t="str">
        <f>IF(_xlfn.XLOOKUP($C27,Table1[Countermeasure],Table1[Remove Severe Conflicts])="x","✓","")</f>
        <v>✓</v>
      </c>
      <c r="J27" s="62" t="s">
        <v>48</v>
      </c>
      <c r="K27" s="62" t="s">
        <v>48</v>
      </c>
      <c r="L27" s="62" t="s">
        <v>48</v>
      </c>
      <c r="M27" s="23" t="str">
        <f>IF(OR(_xlfn.XLOOKUP($C27,Table1[Countermeasure],Table1[Signalized Intersection KSI (equity)])="x",_xlfn.XLOOKUP($C27,Table1[Countermeasure],Table1[Bike Crashes, No facility, midblock (equity)])="x",_xlfn.XLOOKUP($C27,Table1[Countermeasure],Table1[Local Intersection, Injury (equity)])="x",_xlfn.XLOOKUP($C27,Table1[Countermeasure],Table1[Posted Speed 40+ mph (equity)])="x"),"✓","")</f>
        <v>✓</v>
      </c>
      <c r="N27" s="62" t="s">
        <v>48</v>
      </c>
      <c r="O27" s="2" t="str">
        <f>IF(_xlfn.XLOOKUP($C27,Table1[Countermeasure],Table1[Proven Safety Countermeasure])="x","Proven Safety Countermeasures",IF(_xlfn.XLOOKUP($C27,Table1[Countermeasure],Table1[Proven Safety Countermeasure])="Toolbox of Pedestrian Countermeasures","Toolbox of Pedestrian Countermeasures",""))</f>
        <v>Proven Safety Countermeasures</v>
      </c>
      <c r="P27" s="62" t="s">
        <v>48</v>
      </c>
      <c r="Q27" s="2" t="str">
        <f>IF(NOT(ISERROR(SEARCH("Big",_xlfn.XLOOKUP($C27,'CMF source, cost, effectiveness'!$A$2:$A$62,'CMF source, cost, effectiveness'!$G$2:$G$62)))),"Minnesota District Safety Plan Big Book of Ideas","")</f>
        <v>Minnesota District Safety Plan Big Book of Ideas</v>
      </c>
      <c r="R27" s="62" t="s">
        <v>48</v>
      </c>
      <c r="S27" s="62" t="s">
        <v>48</v>
      </c>
      <c r="T27" s="62" t="s">
        <v>48</v>
      </c>
      <c r="U27" s="31" t="str" cm="1">
        <f t="array" ref="U27">IF(_xlfn.XLOOKUP($C27,Table1[[Countermeasure]:[Countermeasure]],_xlfn.XLOOKUP('Overall Table'!U$1,Table1[[#Headers],[Bike Crashes, intersection turning conflicts]:[Speeding related vehicle crashes]],Table1[[Bike Crashes, intersection turning conflicts]:[Speeding related vehicle crashes]],""),"")="x","✓",IF(_xlfn.XLOOKUP($C27,Table1[Reduce Vehicle Speeds],_xlfn.XLOOKUP('Overall Table'!U$1,Table1[[#Headers],[Bike Crashes, intersection turning conflicts]:[Speeding related vehicle crashes]],Table1[[Bike Crashes, intersection turning conflicts]:[Speeding related vehicle crashes]],""),"")="o","O",""))</f>
        <v>✓</v>
      </c>
      <c r="V27" s="62" t="s">
        <v>48</v>
      </c>
      <c r="W27" s="62" t="s">
        <v>48</v>
      </c>
      <c r="X27" s="62" t="s">
        <v>48</v>
      </c>
      <c r="Y27" s="62" t="s">
        <v>48</v>
      </c>
      <c r="Z27" s="62" t="s">
        <v>48</v>
      </c>
      <c r="AA27" s="62" t="s">
        <v>48</v>
      </c>
      <c r="AB27" s="31" t="str" cm="1">
        <f t="array" ref="AB27">IF(_xlfn.XLOOKUP($C27,Table1[[Countermeasure]:[Countermeasure]],_xlfn.XLOOKUP('Overall Table'!AB$1,Table1[[#Headers],[Bike Crashes, intersection turning conflicts]:[Speeding related vehicle crashes]],Table1[[Bike Crashes, intersection turning conflicts]:[Speeding related vehicle crashes]],""),"")="x","✓",IF(_xlfn.XLOOKUP($C27,Table1[NCHRP 926],_xlfn.XLOOKUP('Overall Table'!AB$1,Table1[[#Headers],[Bike Crashes, intersection turning conflicts]:[Speeding related vehicle crashes]],Table1[[Bike Crashes, intersection turning conflicts]:[Speeding related vehicle crashes]],""),"")="o","O",""))</f>
        <v>✓</v>
      </c>
      <c r="AC27" s="31" t="str" cm="1">
        <f t="array" ref="AC27">IF(_xlfn.XLOOKUP($C27,Table1[[Countermeasure]:[Countermeasure]],_xlfn.XLOOKUP('Overall Table'!AC$1,Table1[[#Headers],[Bike Crashes, intersection turning conflicts]:[Speeding related vehicle crashes]],Table1[[Bike Crashes, intersection turning conflicts]:[Speeding related vehicle crashes]],""),"")="x","✓",IF(_xlfn.XLOOKUP($C27,Table1[NCHRP 1033],_xlfn.XLOOKUP('Overall Table'!AC$1,Table1[[#Headers],[Bike Crashes, intersection turning conflicts]:[Speeding related vehicle crashes]],Table1[[Bike Crashes, intersection turning conflicts]:[Speeding related vehicle crashes]],""),"")="o","O",""))</f>
        <v>✓</v>
      </c>
      <c r="AD27" s="62" t="s">
        <v>48</v>
      </c>
    </row>
    <row r="28" spans="1:30" ht="25.5" thickBot="1" x14ac:dyDescent="0.4">
      <c r="A28" s="32" t="str">
        <f>_xlfn.XLOOKUP(C28,Table1[Countermeasure],Table1[Category (FHWA)],"")</f>
        <v>Roadway Departure</v>
      </c>
      <c r="B28" s="36" t="str">
        <f>_xlfn.XLOOKUP(A28,'Data Validation'!$A$2:$A$6,'Data Validation'!$C$2:$C$6,"")&amp;"."&amp;COUNTIF('Overall Table'!$A$2:A28,'Overall Table'!A28)</f>
        <v>RD.4</v>
      </c>
      <c r="C28" s="33" t="str">
        <f>'CM attributes, relevance'!A28</f>
        <v>Median</v>
      </c>
      <c r="D28" s="34"/>
      <c r="E28" s="35" t="str">
        <f>_xlfn.XLOOKUP(C28,'CMF source, cost, effectiveness'!$A$2:$A$101,'CMF source, cost, effectiveness'!$K$2:$K$101,"")</f>
        <v>High</v>
      </c>
      <c r="F28" s="35" t="str">
        <f>_xlfn.XLOOKUP(C28,'CMF source, cost, effectiveness'!$A$2:$A$66,'CMF source, cost, effectiveness'!$M$2:$M$66,"")</f>
        <v>More than 2 years</v>
      </c>
      <c r="G28" s="35" t="str">
        <f>_xlfn.XLOOKUP(C28,'CMF source, cost, effectiveness'!$A$2:$A$101,'CMF source, cost, effectiveness'!$L$2:$L$101,"")</f>
        <v>Proven</v>
      </c>
      <c r="H28" s="50" t="str">
        <f>_xlfn.XLOOKUP(C28,Table1[Countermeasure],Table1[Safe System Category],"")</f>
        <v>Safer Roads</v>
      </c>
      <c r="I28" s="1" t="str">
        <f>IF(_xlfn.XLOOKUP($C28,Table1[Countermeasure],Table1[Remove Severe Conflicts])="x","✓","")</f>
        <v>✓</v>
      </c>
      <c r="J28" s="62" t="s">
        <v>48</v>
      </c>
      <c r="K28" s="62" t="s">
        <v>48</v>
      </c>
      <c r="L28" s="62" t="s">
        <v>48</v>
      </c>
      <c r="M28" s="23" t="str">
        <f>IF(OR(_xlfn.XLOOKUP($C28,Table1[Countermeasure],Table1[Signalized Intersection KSI (equity)])="x",_xlfn.XLOOKUP($C28,Table1[Countermeasure],Table1[Bike Crashes, No facility, midblock (equity)])="x",_xlfn.XLOOKUP($C28,Table1[Countermeasure],Table1[Local Intersection, Injury (equity)])="x",_xlfn.XLOOKUP($C28,Table1[Countermeasure],Table1[Posted Speed 40+ mph (equity)])="x"),"✓","")</f>
        <v>✓</v>
      </c>
      <c r="N28" s="2" t="str">
        <f>IF(NOT(ISERROR(SEARCH("CMF",_xlfn.XLOOKUP($C28,'CMF source, cost, effectiveness'!$A$2:$A$62,'CMF source, cost, effectiveness'!$G$2:$G$62)))),_xlfn.XLOOKUP($C28,'CMF source, cost, effectiveness'!$A$2:$A$62,'CMF source, cost, effectiveness'!$G$2:$G$62),"")</f>
        <v>CMF 21</v>
      </c>
      <c r="O28" s="2" t="str">
        <f>IF(_xlfn.XLOOKUP($C28,Table1[Countermeasure],Table1[Proven Safety Countermeasure])="x","Proven Safety Countermeasures",IF(_xlfn.XLOOKUP($C28,Table1[Countermeasure],Table1[Proven Safety Countermeasure])="Toolbox of Pedestrian Countermeasures","Toolbox of Pedestrian Countermeasures",""))</f>
        <v>Proven Safety Countermeasures</v>
      </c>
      <c r="P28" s="62" t="s">
        <v>48</v>
      </c>
      <c r="Q28" s="62" t="s">
        <v>48</v>
      </c>
      <c r="R28" s="2" t="str">
        <f>IF(_xlfn.XLOOKUP($C28,Table1[Countermeasure],Table1[NCHRP 926])="x","NCHRP 926","")</f>
        <v>NCHRP 926</v>
      </c>
      <c r="S28" s="62" t="s">
        <v>48</v>
      </c>
      <c r="T28" s="62" t="s">
        <v>48</v>
      </c>
      <c r="U28" s="31" t="str" cm="1">
        <f t="array" ref="U28">IF(_xlfn.XLOOKUP($C28,Table1[[Countermeasure]:[Countermeasure]],_xlfn.XLOOKUP('Overall Table'!U$1,Table1[[#Headers],[Bike Crashes, intersection turning conflicts]:[Speeding related vehicle crashes]],Table1[[Bike Crashes, intersection turning conflicts]:[Speeding related vehicle crashes]],""),"")="x","✓",IF(_xlfn.XLOOKUP($C28,Table1[Reduce Vehicle Speeds],_xlfn.XLOOKUP('Overall Table'!U$1,Table1[[#Headers],[Bike Crashes, intersection turning conflicts]:[Speeding related vehicle crashes]],Table1[[Bike Crashes, intersection turning conflicts]:[Speeding related vehicle crashes]],""),"")="o","O",""))</f>
        <v>✓</v>
      </c>
      <c r="V28" s="62" t="s">
        <v>48</v>
      </c>
      <c r="W28" s="62" t="s">
        <v>48</v>
      </c>
      <c r="X28" s="62" t="s">
        <v>48</v>
      </c>
      <c r="Y28" s="62" t="s">
        <v>48</v>
      </c>
      <c r="Z28" s="62" t="s">
        <v>48</v>
      </c>
      <c r="AA28" s="31" t="str" cm="1">
        <f t="array" ref="AA28">IF(_xlfn.XLOOKUP($C28,Table1[[Countermeasure]:[Countermeasure]],_xlfn.XLOOKUP('Overall Table'!AA$1,Table1[[#Headers],[Bike Crashes, intersection turning conflicts]:[Speeding related vehicle crashes]],Table1[[Bike Crashes, intersection turning conflicts]:[Speeding related vehicle crashes]],""),"")="x","✓",IF(_xlfn.XLOOKUP($C28,Table1[MnDOT District Roadway Safety "Big Book of Ideas"],_xlfn.XLOOKUP('Overall Table'!AA$1,Table1[[#Headers],[Bike Crashes, intersection turning conflicts]:[Speeding related vehicle crashes]],Table1[[Bike Crashes, intersection turning conflicts]:[Speeding related vehicle crashes]],""),"")="o","O",""))</f>
        <v>✓</v>
      </c>
      <c r="AB28" s="31" t="str" cm="1">
        <f t="array" ref="AB28">IF(_xlfn.XLOOKUP($C28,Table1[[Countermeasure]:[Countermeasure]],_xlfn.XLOOKUP('Overall Table'!AB$1,Table1[[#Headers],[Bike Crashes, intersection turning conflicts]:[Speeding related vehicle crashes]],Table1[[Bike Crashes, intersection turning conflicts]:[Speeding related vehicle crashes]],""),"")="x","✓",IF(_xlfn.XLOOKUP($C28,Table1[NCHRP 926],_xlfn.XLOOKUP('Overall Table'!AB$1,Table1[[#Headers],[Bike Crashes, intersection turning conflicts]:[Speeding related vehicle crashes]],Table1[[Bike Crashes, intersection turning conflicts]:[Speeding related vehicle crashes]],""),"")="o","O",""))</f>
        <v>✓</v>
      </c>
      <c r="AC28" s="31" t="str" cm="1">
        <f t="array" ref="AC28">IF(_xlfn.XLOOKUP($C28,Table1[[Countermeasure]:[Countermeasure]],_xlfn.XLOOKUP('Overall Table'!AC$1,Table1[[#Headers],[Bike Crashes, intersection turning conflicts]:[Speeding related vehicle crashes]],Table1[[Bike Crashes, intersection turning conflicts]:[Speeding related vehicle crashes]],""),"")="x","✓",IF(_xlfn.XLOOKUP($C28,Table1[NCHRP 1033],_xlfn.XLOOKUP('Overall Table'!AC$1,Table1[[#Headers],[Bike Crashes, intersection turning conflicts]:[Speeding related vehicle crashes]],Table1[[Bike Crashes, intersection turning conflicts]:[Speeding related vehicle crashes]],""),"")="o","O",""))</f>
        <v>✓</v>
      </c>
      <c r="AD28" s="62" t="s">
        <v>48</v>
      </c>
    </row>
    <row r="29" spans="1:30" ht="25.5" thickBot="1" x14ac:dyDescent="0.4">
      <c r="A29" s="32" t="str">
        <f>_xlfn.XLOOKUP(C29,Table1[Countermeasure],Table1[Category (FHWA)],"")</f>
        <v>Roadway Departure</v>
      </c>
      <c r="B29" s="36" t="str">
        <f>_xlfn.XLOOKUP(A29,'Data Validation'!$A$2:$A$6,'Data Validation'!$C$2:$C$6,"")&amp;"."&amp;COUNTIF('Overall Table'!$A$2:A29,'Overall Table'!A29)</f>
        <v>RD.5</v>
      </c>
      <c r="C29" s="33" t="str">
        <f>'CM attributes, relevance'!A29</f>
        <v>Add chevron signs</v>
      </c>
      <c r="D29" s="34"/>
      <c r="E29" s="35" t="str">
        <f>_xlfn.XLOOKUP(C29,'CMF source, cost, effectiveness'!$A$2:$A$101,'CMF source, cost, effectiveness'!$K$2:$K$101,"")</f>
        <v>Low</v>
      </c>
      <c r="F29" s="35" t="str">
        <f>_xlfn.XLOOKUP(C29,'CMF source, cost, effectiveness'!$A$2:$A$66,'CMF source, cost, effectiveness'!$M$2:$M$66,"")</f>
        <v>Less than 1 year</v>
      </c>
      <c r="G29" s="35" t="str">
        <f>_xlfn.XLOOKUP(C29,'CMF source, cost, effectiveness'!$A$2:$A$101,'CMF source, cost, effectiveness'!$L$2:$L$101,"")</f>
        <v>Proven</v>
      </c>
      <c r="H29" s="50" t="str">
        <f>_xlfn.XLOOKUP(C29,Table1[Countermeasure],Table1[Safe System Category],"")</f>
        <v>Safer Roads</v>
      </c>
      <c r="I29" s="62" t="s">
        <v>48</v>
      </c>
      <c r="J29" s="62" t="s">
        <v>48</v>
      </c>
      <c r="K29" s="62" t="s">
        <v>48</v>
      </c>
      <c r="L29" s="1" t="str">
        <f>IF(_xlfn.XLOOKUP($C29,Table1[Countermeasure],Table1[Increase Attentiveness &amp; Awareness])="x","✓","")</f>
        <v>✓</v>
      </c>
      <c r="M29" s="23" t="str">
        <f>IF(OR(_xlfn.XLOOKUP($C29,Table1[Countermeasure],Table1[Signalized Intersection KSI (equity)])="x",_xlfn.XLOOKUP($C29,Table1[Countermeasure],Table1[Bike Crashes, No facility, midblock (equity)])="x",_xlfn.XLOOKUP($C29,Table1[Countermeasure],Table1[Local Intersection, Injury (equity)])="x",_xlfn.XLOOKUP($C29,Table1[Countermeasure],Table1[Posted Speed 40+ mph (equity)])="x"),"✓","")</f>
        <v>✓</v>
      </c>
      <c r="N29" s="2" t="str">
        <f>IF(NOT(ISERROR(SEARCH("CMF",_xlfn.XLOOKUP($C29,'CMF source, cost, effectiveness'!$A$2:$A$62,'CMF source, cost, effectiveness'!$G$2:$G$62)))),_xlfn.XLOOKUP($C29,'CMF source, cost, effectiveness'!$A$2:$A$62,'CMF source, cost, effectiveness'!$G$2:$G$62),"")</f>
        <v>CMF 2439</v>
      </c>
      <c r="O29" s="2" t="str">
        <f>IF(_xlfn.XLOOKUP($C29,Table1[Countermeasure],Table1[Proven Safety Countermeasure])="x","Proven Safety Countermeasures",IF(_xlfn.XLOOKUP($C29,Table1[Countermeasure],Table1[Proven Safety Countermeasure])="Toolbox of Pedestrian Countermeasures","Toolbox of Pedestrian Countermeasures",""))</f>
        <v>Proven Safety Countermeasures</v>
      </c>
      <c r="P29" s="62" t="s">
        <v>48</v>
      </c>
      <c r="Q29" s="62" t="s">
        <v>48</v>
      </c>
      <c r="R29" s="62" t="s">
        <v>48</v>
      </c>
      <c r="S29" s="62" t="s">
        <v>48</v>
      </c>
      <c r="T29" s="62" t="s">
        <v>48</v>
      </c>
      <c r="U29" s="31" t="str" cm="1">
        <f t="array" ref="U29">IF(_xlfn.XLOOKUP($C29,Table1[[Countermeasure]:[Countermeasure]],_xlfn.XLOOKUP('Overall Table'!U$1,Table1[[#Headers],[Bike Crashes, intersection turning conflicts]:[Speeding related vehicle crashes]],Table1[[Bike Crashes, intersection turning conflicts]:[Speeding related vehicle crashes]],""),"")="x","✓",IF(_xlfn.XLOOKUP($C29,Table1[Reduce Vehicle Speeds],_xlfn.XLOOKUP('Overall Table'!U$1,Table1[[#Headers],[Bike Crashes, intersection turning conflicts]:[Speeding related vehicle crashes]],Table1[[Bike Crashes, intersection turning conflicts]:[Speeding related vehicle crashes]],""),"")="o","O",""))</f>
        <v>✓</v>
      </c>
      <c r="V29" s="62" t="s">
        <v>48</v>
      </c>
      <c r="W29" s="62" t="s">
        <v>48</v>
      </c>
      <c r="X29" s="62" t="s">
        <v>48</v>
      </c>
      <c r="Y29" s="62" t="s">
        <v>48</v>
      </c>
      <c r="Z29" s="62" t="s">
        <v>48</v>
      </c>
      <c r="AA29" s="62" t="s">
        <v>48</v>
      </c>
      <c r="AB29" s="31" t="str" cm="1">
        <f t="array" ref="AB29">IF(_xlfn.XLOOKUP($C29,Table1[[Countermeasure]:[Countermeasure]],_xlfn.XLOOKUP('Overall Table'!AB$1,Table1[[#Headers],[Bike Crashes, intersection turning conflicts]:[Speeding related vehicle crashes]],Table1[[Bike Crashes, intersection turning conflicts]:[Speeding related vehicle crashes]],""),"")="x","✓",IF(_xlfn.XLOOKUP($C29,Table1[NCHRP 926],_xlfn.XLOOKUP('Overall Table'!AB$1,Table1[[#Headers],[Bike Crashes, intersection turning conflicts]:[Speeding related vehicle crashes]],Table1[[Bike Crashes, intersection turning conflicts]:[Speeding related vehicle crashes]],""),"")="o","O",""))</f>
        <v>✓</v>
      </c>
      <c r="AC29" s="31" t="str" cm="1">
        <f t="array" ref="AC29">IF(_xlfn.XLOOKUP($C29,Table1[[Countermeasure]:[Countermeasure]],_xlfn.XLOOKUP('Overall Table'!AC$1,Table1[[#Headers],[Bike Crashes, intersection turning conflicts]:[Speeding related vehicle crashes]],Table1[[Bike Crashes, intersection turning conflicts]:[Speeding related vehicle crashes]],""),"")="x","✓",IF(_xlfn.XLOOKUP($C29,Table1[NCHRP 1033],_xlfn.XLOOKUP('Overall Table'!AC$1,Table1[[#Headers],[Bike Crashes, intersection turning conflicts]:[Speeding related vehicle crashes]],Table1[[Bike Crashes, intersection turning conflicts]:[Speeding related vehicle crashes]],""),"")="o","O",""))</f>
        <v>✓</v>
      </c>
      <c r="AD29" s="62" t="s">
        <v>48</v>
      </c>
    </row>
    <row r="30" spans="1:30" ht="25.5" thickBot="1" x14ac:dyDescent="0.4">
      <c r="A30" s="32" t="str">
        <f>_xlfn.XLOOKUP(C30,Table1[Countermeasure],Table1[Category (FHWA)],"")</f>
        <v>Roadway Departure</v>
      </c>
      <c r="B30" s="36" t="str">
        <f>_xlfn.XLOOKUP(A30,'Data Validation'!$A$2:$A$6,'Data Validation'!$C$2:$C$6,"")&amp;"."&amp;COUNTIF('Overall Table'!$A$2:A30,'Overall Table'!A30)</f>
        <v>RD.6</v>
      </c>
      <c r="C30" s="33" t="str">
        <f>'CM attributes, relevance'!A30</f>
        <v>Wider edge lines</v>
      </c>
      <c r="D30" s="34"/>
      <c r="E30" s="35" t="str">
        <f>_xlfn.XLOOKUP(C30,'CMF source, cost, effectiveness'!$A$2:$A$101,'CMF source, cost, effectiveness'!$K$2:$K$101,"")</f>
        <v>Low</v>
      </c>
      <c r="F30" s="35" t="str">
        <f>_xlfn.XLOOKUP(C30,'CMF source, cost, effectiveness'!$A$2:$A$66,'CMF source, cost, effectiveness'!$M$2:$M$66,"")</f>
        <v>Less than 1 year</v>
      </c>
      <c r="G30" s="35" t="str">
        <f>_xlfn.XLOOKUP(C30,'CMF source, cost, effectiveness'!$A$2:$A$101,'CMF source, cost, effectiveness'!$L$2:$L$101,"")</f>
        <v>Proven</v>
      </c>
      <c r="H30" s="50" t="str">
        <f>_xlfn.XLOOKUP(C30,Table1[Countermeasure],Table1[Safe System Category],"")</f>
        <v>Safer Roads</v>
      </c>
      <c r="I30" s="62" t="s">
        <v>48</v>
      </c>
      <c r="J30" s="62" t="s">
        <v>48</v>
      </c>
      <c r="K30" s="62" t="s">
        <v>48</v>
      </c>
      <c r="L30" s="1" t="str">
        <f>IF(_xlfn.XLOOKUP($C30,Table1[Countermeasure],Table1[Increase Attentiveness &amp; Awareness])="x","✓","")</f>
        <v>✓</v>
      </c>
      <c r="M30" s="23" t="str">
        <f>IF(OR(_xlfn.XLOOKUP($C30,Table1[Countermeasure],Table1[Signalized Intersection KSI (equity)])="x",_xlfn.XLOOKUP($C30,Table1[Countermeasure],Table1[Bike Crashes, No facility, midblock (equity)])="x",_xlfn.XLOOKUP($C30,Table1[Countermeasure],Table1[Local Intersection, Injury (equity)])="x",_xlfn.XLOOKUP($C30,Table1[Countermeasure],Table1[Posted Speed 40+ mph (equity)])="x"),"✓","")</f>
        <v>✓</v>
      </c>
      <c r="N30" s="2" t="str">
        <f>IF(NOT(ISERROR(SEARCH("CMF",_xlfn.XLOOKUP($C30,'CMF source, cost, effectiveness'!$A$2:$A$62,'CMF source, cost, effectiveness'!$G$2:$G$62)))),_xlfn.XLOOKUP($C30,'CMF source, cost, effectiveness'!$A$2:$A$62,'CMF source, cost, effectiveness'!$G$2:$G$62),"")</f>
        <v>CMF 4737</v>
      </c>
      <c r="O30" s="2" t="str">
        <f>IF(_xlfn.XLOOKUP($C30,Table1[Countermeasure],Table1[Proven Safety Countermeasure])="x","Proven Safety Countermeasures",IF(_xlfn.XLOOKUP($C30,Table1[Countermeasure],Table1[Proven Safety Countermeasure])="Toolbox of Pedestrian Countermeasures","Toolbox of Pedestrian Countermeasures",""))</f>
        <v>Proven Safety Countermeasures</v>
      </c>
      <c r="P30" s="62" t="s">
        <v>48</v>
      </c>
      <c r="Q30" s="62" t="s">
        <v>48</v>
      </c>
      <c r="R30" s="62" t="s">
        <v>48</v>
      </c>
      <c r="S30" s="62" t="s">
        <v>48</v>
      </c>
      <c r="T30" s="62" t="s">
        <v>48</v>
      </c>
      <c r="U30" s="31" t="str" cm="1">
        <f t="array" ref="U30">IF(_xlfn.XLOOKUP($C30,Table1[[Countermeasure]:[Countermeasure]],_xlfn.XLOOKUP('Overall Table'!U$1,Table1[[#Headers],[Bike Crashes, intersection turning conflicts]:[Speeding related vehicle crashes]],Table1[[Bike Crashes, intersection turning conflicts]:[Speeding related vehicle crashes]],""),"")="x","✓",IF(_xlfn.XLOOKUP($C30,Table1[Reduce Vehicle Speeds],_xlfn.XLOOKUP('Overall Table'!U$1,Table1[[#Headers],[Bike Crashes, intersection turning conflicts]:[Speeding related vehicle crashes]],Table1[[Bike Crashes, intersection turning conflicts]:[Speeding related vehicle crashes]],""),"")="o","O",""))</f>
        <v>✓</v>
      </c>
      <c r="V30" s="62" t="s">
        <v>48</v>
      </c>
      <c r="W30" s="62" t="s">
        <v>48</v>
      </c>
      <c r="X30" s="62" t="s">
        <v>48</v>
      </c>
      <c r="Y30" s="62" t="s">
        <v>48</v>
      </c>
      <c r="Z30" s="62" t="s">
        <v>48</v>
      </c>
      <c r="AA30" s="62" t="s">
        <v>48</v>
      </c>
      <c r="AB30" s="31" t="str" cm="1">
        <f t="array" ref="AB30">IF(_xlfn.XLOOKUP($C30,Table1[[Countermeasure]:[Countermeasure]],_xlfn.XLOOKUP('Overall Table'!AB$1,Table1[[#Headers],[Bike Crashes, intersection turning conflicts]:[Speeding related vehicle crashes]],Table1[[Bike Crashes, intersection turning conflicts]:[Speeding related vehicle crashes]],""),"")="x","✓",IF(_xlfn.XLOOKUP($C30,Table1[NCHRP 926],_xlfn.XLOOKUP('Overall Table'!AB$1,Table1[[#Headers],[Bike Crashes, intersection turning conflicts]:[Speeding related vehicle crashes]],Table1[[Bike Crashes, intersection turning conflicts]:[Speeding related vehicle crashes]],""),"")="o","O",""))</f>
        <v>✓</v>
      </c>
      <c r="AC30" s="31" t="str" cm="1">
        <f t="array" ref="AC30">IF(_xlfn.XLOOKUP($C30,Table1[[Countermeasure]:[Countermeasure]],_xlfn.XLOOKUP('Overall Table'!AC$1,Table1[[#Headers],[Bike Crashes, intersection turning conflicts]:[Speeding related vehicle crashes]],Table1[[Bike Crashes, intersection turning conflicts]:[Speeding related vehicle crashes]],""),"")="x","✓",IF(_xlfn.XLOOKUP($C30,Table1[NCHRP 1033],_xlfn.XLOOKUP('Overall Table'!AC$1,Table1[[#Headers],[Bike Crashes, intersection turning conflicts]:[Speeding related vehicle crashes]],Table1[[Bike Crashes, intersection turning conflicts]:[Speeding related vehicle crashes]],""),"")="o","O",""))</f>
        <v>✓</v>
      </c>
      <c r="AD30" s="62" t="s">
        <v>48</v>
      </c>
    </row>
    <row r="31" spans="1:30" ht="25.5" thickBot="1" x14ac:dyDescent="0.4">
      <c r="A31" s="32" t="str">
        <f>_xlfn.XLOOKUP(C31,Table1[Countermeasure],Table1[Category (FHWA)],"")</f>
        <v>Roadway Departure</v>
      </c>
      <c r="B31" s="36" t="str">
        <f>_xlfn.XLOOKUP(A31,'Data Validation'!$A$2:$A$6,'Data Validation'!$C$2:$C$6,"")&amp;"."&amp;COUNTIF('Overall Table'!$A$2:A31,'Overall Table'!A31)</f>
        <v>RD.7</v>
      </c>
      <c r="C31" s="33" t="str">
        <f>'CM attributes, relevance'!A31</f>
        <v>Dynamic chevrons/curve signing</v>
      </c>
      <c r="D31" s="34"/>
      <c r="E31" s="35" t="str">
        <f>_xlfn.XLOOKUP(C31,'CMF source, cost, effectiveness'!$A$2:$A$101,'CMF source, cost, effectiveness'!$K$2:$K$101,"")</f>
        <v>Moderate</v>
      </c>
      <c r="F31" s="35" t="str">
        <f>_xlfn.XLOOKUP(C31,'CMF source, cost, effectiveness'!$A$2:$A$66,'CMF source, cost, effectiveness'!$M$2:$M$66,"")</f>
        <v>Less than 1 year</v>
      </c>
      <c r="G31" s="35" t="str">
        <f>_xlfn.XLOOKUP(C31,'CMF source, cost, effectiveness'!$A$2:$A$101,'CMF source, cost, effectiveness'!$L$2:$L$101,"")</f>
        <v>Proven</v>
      </c>
      <c r="H31" s="50" t="str">
        <f>_xlfn.XLOOKUP(C31,Table1[Countermeasure],Table1[Safe System Category],"")</f>
        <v>Safer Roads</v>
      </c>
      <c r="I31" s="62" t="s">
        <v>48</v>
      </c>
      <c r="J31" s="62" t="s">
        <v>48</v>
      </c>
      <c r="K31" s="62" t="s">
        <v>48</v>
      </c>
      <c r="L31" s="1" t="str">
        <f>IF(_xlfn.XLOOKUP($C31,Table1[Countermeasure],Table1[Increase Attentiveness &amp; Awareness])="x","✓","")</f>
        <v>✓</v>
      </c>
      <c r="M31" s="23" t="str">
        <f>IF(OR(_xlfn.XLOOKUP($C31,Table1[Countermeasure],Table1[Signalized Intersection KSI (equity)])="x",_xlfn.XLOOKUP($C31,Table1[Countermeasure],Table1[Bike Crashes, No facility, midblock (equity)])="x",_xlfn.XLOOKUP($C31,Table1[Countermeasure],Table1[Local Intersection, Injury (equity)])="x",_xlfn.XLOOKUP($C31,Table1[Countermeasure],Table1[Posted Speed 40+ mph (equity)])="x"),"✓","")</f>
        <v>✓</v>
      </c>
      <c r="N31" s="2" t="str">
        <f>IF(NOT(ISERROR(SEARCH("CMF",_xlfn.XLOOKUP($C31,'CMF source, cost, effectiveness'!$A$2:$A$62,'CMF source, cost, effectiveness'!$G$2:$G$62)))),_xlfn.XLOOKUP($C31,'CMF source, cost, effectiveness'!$A$2:$A$62,'CMF source, cost, effectiveness'!$G$2:$G$62),"")</f>
        <v>CMF 10361</v>
      </c>
      <c r="O31" s="2" t="str">
        <f>IF(_xlfn.XLOOKUP($C31,Table1[Countermeasure],Table1[Proven Safety Countermeasure])="x","Proven Safety Countermeasures",IF(_xlfn.XLOOKUP($C31,Table1[Countermeasure],Table1[Proven Safety Countermeasure])="Toolbox of Pedestrian Countermeasures","Toolbox of Pedestrian Countermeasures",""))</f>
        <v>Proven Safety Countermeasures</v>
      </c>
      <c r="P31" s="62" t="s">
        <v>48</v>
      </c>
      <c r="Q31" s="62" t="s">
        <v>48</v>
      </c>
      <c r="R31" s="62" t="s">
        <v>48</v>
      </c>
      <c r="S31" s="62" t="s">
        <v>48</v>
      </c>
      <c r="T31" s="62" t="s">
        <v>48</v>
      </c>
      <c r="U31" s="31" t="str" cm="1">
        <f t="array" ref="U31">IF(_xlfn.XLOOKUP($C31,Table1[[Countermeasure]:[Countermeasure]],_xlfn.XLOOKUP('Overall Table'!U$1,Table1[[#Headers],[Bike Crashes, intersection turning conflicts]:[Speeding related vehicle crashes]],Table1[[Bike Crashes, intersection turning conflicts]:[Speeding related vehicle crashes]],""),"")="x","✓",IF(_xlfn.XLOOKUP($C31,Table1[Reduce Vehicle Speeds],_xlfn.XLOOKUP('Overall Table'!U$1,Table1[[#Headers],[Bike Crashes, intersection turning conflicts]:[Speeding related vehicle crashes]],Table1[[Bike Crashes, intersection turning conflicts]:[Speeding related vehicle crashes]],""),"")="o","O",""))</f>
        <v>✓</v>
      </c>
      <c r="V31" s="62" t="s">
        <v>48</v>
      </c>
      <c r="W31" s="62" t="s">
        <v>48</v>
      </c>
      <c r="X31" s="62" t="s">
        <v>48</v>
      </c>
      <c r="Y31" s="62" t="s">
        <v>48</v>
      </c>
      <c r="Z31" s="62" t="s">
        <v>48</v>
      </c>
      <c r="AA31" s="62" t="s">
        <v>48</v>
      </c>
      <c r="AB31" s="31" t="str" cm="1">
        <f t="array" ref="AB31">IF(_xlfn.XLOOKUP($C31,Table1[[Countermeasure]:[Countermeasure]],_xlfn.XLOOKUP('Overall Table'!AB$1,Table1[[#Headers],[Bike Crashes, intersection turning conflicts]:[Speeding related vehicle crashes]],Table1[[Bike Crashes, intersection turning conflicts]:[Speeding related vehicle crashes]],""),"")="x","✓",IF(_xlfn.XLOOKUP($C31,Table1[NCHRP 926],_xlfn.XLOOKUP('Overall Table'!AB$1,Table1[[#Headers],[Bike Crashes, intersection turning conflicts]:[Speeding related vehicle crashes]],Table1[[Bike Crashes, intersection turning conflicts]:[Speeding related vehicle crashes]],""),"")="o","O",""))</f>
        <v>✓</v>
      </c>
      <c r="AC31" s="31" t="str" cm="1">
        <f t="array" ref="AC31">IF(_xlfn.XLOOKUP($C31,Table1[[Countermeasure]:[Countermeasure]],_xlfn.XLOOKUP('Overall Table'!AC$1,Table1[[#Headers],[Bike Crashes, intersection turning conflicts]:[Speeding related vehicle crashes]],Table1[[Bike Crashes, intersection turning conflicts]:[Speeding related vehicle crashes]],""),"")="x","✓",IF(_xlfn.XLOOKUP($C31,Table1[NCHRP 1033],_xlfn.XLOOKUP('Overall Table'!AC$1,Table1[[#Headers],[Bike Crashes, intersection turning conflicts]:[Speeding related vehicle crashes]],Table1[[Bike Crashes, intersection turning conflicts]:[Speeding related vehicle crashes]],""),"")="o","O",""))</f>
        <v>✓</v>
      </c>
      <c r="AD31" s="62" t="s">
        <v>48</v>
      </c>
    </row>
    <row r="32" spans="1:30" ht="25.5" thickBot="1" x14ac:dyDescent="0.4">
      <c r="A32" s="32" t="str">
        <f>_xlfn.XLOOKUP(C32,Table1[Countermeasure],Table1[Category (FHWA)],"")</f>
        <v>Roadway Departure</v>
      </c>
      <c r="B32" s="36" t="str">
        <f>_xlfn.XLOOKUP(A32,'Data Validation'!$A$2:$A$6,'Data Validation'!$C$2:$C$6,"")&amp;"."&amp;COUNTIF('Overall Table'!$A$2:A32,'Overall Table'!A32)</f>
        <v>RD.8</v>
      </c>
      <c r="C32" s="33" t="str">
        <f>'CM attributes, relevance'!A32</f>
        <v>Edgeline/shoulder rumble strips</v>
      </c>
      <c r="D32" s="34"/>
      <c r="E32" s="35" t="str">
        <f>_xlfn.XLOOKUP(C32,'CMF source, cost, effectiveness'!$A$2:$A$101,'CMF source, cost, effectiveness'!$K$2:$K$101,"")</f>
        <v>Low</v>
      </c>
      <c r="F32" s="35" t="str">
        <f>_xlfn.XLOOKUP(C32,'CMF source, cost, effectiveness'!$A$2:$A$66,'CMF source, cost, effectiveness'!$M$2:$M$66,"")</f>
        <v>Less than 1 year</v>
      </c>
      <c r="G32" s="35" t="str">
        <f>_xlfn.XLOOKUP(C32,'CMF source, cost, effectiveness'!$A$2:$A$101,'CMF source, cost, effectiveness'!$L$2:$L$101,"")</f>
        <v>Proven</v>
      </c>
      <c r="H32" s="50" t="str">
        <f>_xlfn.XLOOKUP(C32,Table1[Countermeasure],Table1[Safe System Category],"")</f>
        <v>Safer Roads</v>
      </c>
      <c r="I32" s="62" t="s">
        <v>48</v>
      </c>
      <c r="J32" s="62" t="s">
        <v>48</v>
      </c>
      <c r="K32" s="62" t="s">
        <v>48</v>
      </c>
      <c r="L32" s="1" t="str">
        <f>IF(_xlfn.XLOOKUP($C32,Table1[Countermeasure],Table1[Increase Attentiveness &amp; Awareness])="x","✓","")</f>
        <v>✓</v>
      </c>
      <c r="M32" s="23" t="str">
        <f>IF(OR(_xlfn.XLOOKUP($C32,Table1[Countermeasure],Table1[Signalized Intersection KSI (equity)])="x",_xlfn.XLOOKUP($C32,Table1[Countermeasure],Table1[Bike Crashes, No facility, midblock (equity)])="x",_xlfn.XLOOKUP($C32,Table1[Countermeasure],Table1[Local Intersection, Injury (equity)])="x",_xlfn.XLOOKUP($C32,Table1[Countermeasure],Table1[Posted Speed 40+ mph (equity)])="x"),"✓","")</f>
        <v>✓</v>
      </c>
      <c r="N32" s="2" t="str">
        <f>IF(NOT(ISERROR(SEARCH("CMF",_xlfn.XLOOKUP($C32,'CMF source, cost, effectiveness'!$A$2:$A$62,'CMF source, cost, effectiveness'!$G$2:$G$62)))),_xlfn.XLOOKUP($C32,'CMF source, cost, effectiveness'!$A$2:$A$62,'CMF source, cost, effectiveness'!$G$2:$G$62),"")</f>
        <v>CMF 10449</v>
      </c>
      <c r="O32" s="2" t="str">
        <f>IF(_xlfn.XLOOKUP($C32,Table1[Countermeasure],Table1[Proven Safety Countermeasure])="x","Proven Safety Countermeasures",IF(_xlfn.XLOOKUP($C32,Table1[Countermeasure],Table1[Proven Safety Countermeasure])="Toolbox of Pedestrian Countermeasures","Toolbox of Pedestrian Countermeasures",""))</f>
        <v>Proven Safety Countermeasures</v>
      </c>
      <c r="P32" s="62" t="s">
        <v>48</v>
      </c>
      <c r="Q32" s="62" t="s">
        <v>48</v>
      </c>
      <c r="R32" s="62" t="s">
        <v>48</v>
      </c>
      <c r="S32" s="62" t="s">
        <v>48</v>
      </c>
      <c r="T32" s="62" t="s">
        <v>48</v>
      </c>
      <c r="U32" s="31" t="str" cm="1">
        <f t="array" ref="U32">IF(_xlfn.XLOOKUP($C32,Table1[[Countermeasure]:[Countermeasure]],_xlfn.XLOOKUP('Overall Table'!U$1,Table1[[#Headers],[Bike Crashes, intersection turning conflicts]:[Speeding related vehicle crashes]],Table1[[Bike Crashes, intersection turning conflicts]:[Speeding related vehicle crashes]],""),"")="x","✓",IF(_xlfn.XLOOKUP($C32,Table1[Reduce Vehicle Speeds],_xlfn.XLOOKUP('Overall Table'!U$1,Table1[[#Headers],[Bike Crashes, intersection turning conflicts]:[Speeding related vehicle crashes]],Table1[[Bike Crashes, intersection turning conflicts]:[Speeding related vehicle crashes]],""),"")="o","O",""))</f>
        <v>✓</v>
      </c>
      <c r="V32" s="62" t="s">
        <v>48</v>
      </c>
      <c r="W32" s="62" t="s">
        <v>48</v>
      </c>
      <c r="X32" s="62" t="s">
        <v>48</v>
      </c>
      <c r="Y32" s="62" t="s">
        <v>48</v>
      </c>
      <c r="Z32" s="62" t="s">
        <v>48</v>
      </c>
      <c r="AA32" s="62" t="s">
        <v>48</v>
      </c>
      <c r="AB32" s="31" t="str" cm="1">
        <f t="array" ref="AB32">IF(_xlfn.XLOOKUP($C32,Table1[[Countermeasure]:[Countermeasure]],_xlfn.XLOOKUP('Overall Table'!AB$1,Table1[[#Headers],[Bike Crashes, intersection turning conflicts]:[Speeding related vehicle crashes]],Table1[[Bike Crashes, intersection turning conflicts]:[Speeding related vehicle crashes]],""),"")="x","✓",IF(_xlfn.XLOOKUP($C32,Table1[NCHRP 926],_xlfn.XLOOKUP('Overall Table'!AB$1,Table1[[#Headers],[Bike Crashes, intersection turning conflicts]:[Speeding related vehicle crashes]],Table1[[Bike Crashes, intersection turning conflicts]:[Speeding related vehicle crashes]],""),"")="o","O",""))</f>
        <v>✓</v>
      </c>
      <c r="AC32" s="31" t="str" cm="1">
        <f t="array" ref="AC32">IF(_xlfn.XLOOKUP($C32,Table1[[Countermeasure]:[Countermeasure]],_xlfn.XLOOKUP('Overall Table'!AC$1,Table1[[#Headers],[Bike Crashes, intersection turning conflicts]:[Speeding related vehicle crashes]],Table1[[Bike Crashes, intersection turning conflicts]:[Speeding related vehicle crashes]],""),"")="x","✓",IF(_xlfn.XLOOKUP($C32,Table1[NCHRP 1033],_xlfn.XLOOKUP('Overall Table'!AC$1,Table1[[#Headers],[Bike Crashes, intersection turning conflicts]:[Speeding related vehicle crashes]],Table1[[Bike Crashes, intersection turning conflicts]:[Speeding related vehicle crashes]],""),"")="o","O",""))</f>
        <v>✓</v>
      </c>
      <c r="AD32" s="62" t="s">
        <v>48</v>
      </c>
    </row>
    <row r="33" spans="1:30" ht="25.5" thickBot="1" x14ac:dyDescent="0.4">
      <c r="A33" s="32" t="str">
        <f>_xlfn.XLOOKUP(C33,Table1[Countermeasure],Table1[Category (FHWA)],"")</f>
        <v>Roadway Departure</v>
      </c>
      <c r="B33" s="36" t="str">
        <f>_xlfn.XLOOKUP(A33,'Data Validation'!$A$2:$A$6,'Data Validation'!$C$2:$C$6,"")&amp;"."&amp;COUNTIF('Overall Table'!$A$2:A33,'Overall Table'!A33)</f>
        <v>RD.9</v>
      </c>
      <c r="C33" s="33" t="str">
        <f>'CM attributes, relevance'!A33</f>
        <v>Centerline rumble strips</v>
      </c>
      <c r="D33" s="34"/>
      <c r="E33" s="35" t="str">
        <f>_xlfn.XLOOKUP(C33,'CMF source, cost, effectiveness'!$A$2:$A$101,'CMF source, cost, effectiveness'!$K$2:$K$101,"")</f>
        <v>Low</v>
      </c>
      <c r="F33" s="35" t="str">
        <f>_xlfn.XLOOKUP(C33,'CMF source, cost, effectiveness'!$A$2:$A$66,'CMF source, cost, effectiveness'!$M$2:$M$66,"")</f>
        <v>Less than 1 year</v>
      </c>
      <c r="G33" s="35" t="str">
        <f>_xlfn.XLOOKUP(C33,'CMF source, cost, effectiveness'!$A$2:$A$101,'CMF source, cost, effectiveness'!$L$2:$L$101,"")</f>
        <v>Proven</v>
      </c>
      <c r="H33" s="50" t="str">
        <f>_xlfn.XLOOKUP(C33,Table1[Countermeasure],Table1[Safe System Category],"")</f>
        <v>Safer Roads</v>
      </c>
      <c r="I33" s="62" t="s">
        <v>48</v>
      </c>
      <c r="J33" s="62" t="s">
        <v>48</v>
      </c>
      <c r="K33" s="62" t="s">
        <v>48</v>
      </c>
      <c r="L33" s="1" t="str">
        <f>IF(_xlfn.XLOOKUP($C33,Table1[Countermeasure],Table1[Increase Attentiveness &amp; Awareness])="x","✓","")</f>
        <v>✓</v>
      </c>
      <c r="M33" s="23" t="str">
        <f>IF(OR(_xlfn.XLOOKUP($C33,Table1[Countermeasure],Table1[Signalized Intersection KSI (equity)])="x",_xlfn.XLOOKUP($C33,Table1[Countermeasure],Table1[Bike Crashes, No facility, midblock (equity)])="x",_xlfn.XLOOKUP($C33,Table1[Countermeasure],Table1[Local Intersection, Injury (equity)])="x",_xlfn.XLOOKUP($C33,Table1[Countermeasure],Table1[Posted Speed 40+ mph (equity)])="x"),"✓","")</f>
        <v>✓</v>
      </c>
      <c r="N33" s="2" t="str">
        <f>IF(NOT(ISERROR(SEARCH("CMF",_xlfn.XLOOKUP($C33,'CMF source, cost, effectiveness'!$A$2:$A$62,'CMF source, cost, effectiveness'!$G$2:$G$62)))),_xlfn.XLOOKUP($C33,'CMF source, cost, effectiveness'!$A$2:$A$62,'CMF source, cost, effectiveness'!$G$2:$G$62),"")</f>
        <v>CMF 10448</v>
      </c>
      <c r="O33" s="2" t="str">
        <f>IF(_xlfn.XLOOKUP($C33,Table1[Countermeasure],Table1[Proven Safety Countermeasure])="x","Proven Safety Countermeasures",IF(_xlfn.XLOOKUP($C33,Table1[Countermeasure],Table1[Proven Safety Countermeasure])="Toolbox of Pedestrian Countermeasures","Toolbox of Pedestrian Countermeasures",""))</f>
        <v>Proven Safety Countermeasures</v>
      </c>
      <c r="P33" s="62" t="s">
        <v>48</v>
      </c>
      <c r="Q33" s="62" t="s">
        <v>48</v>
      </c>
      <c r="R33" s="62" t="s">
        <v>48</v>
      </c>
      <c r="S33" s="62" t="s">
        <v>48</v>
      </c>
      <c r="T33" s="62" t="s">
        <v>48</v>
      </c>
      <c r="U33" s="31" t="str" cm="1">
        <f t="array" ref="U33">IF(_xlfn.XLOOKUP($C33,Table1[[Countermeasure]:[Countermeasure]],_xlfn.XLOOKUP('Overall Table'!U$1,Table1[[#Headers],[Bike Crashes, intersection turning conflicts]:[Speeding related vehicle crashes]],Table1[[Bike Crashes, intersection turning conflicts]:[Speeding related vehicle crashes]],""),"")="x","✓",IF(_xlfn.XLOOKUP($C33,Table1[Reduce Vehicle Speeds],_xlfn.XLOOKUP('Overall Table'!U$1,Table1[[#Headers],[Bike Crashes, intersection turning conflicts]:[Speeding related vehicle crashes]],Table1[[Bike Crashes, intersection turning conflicts]:[Speeding related vehicle crashes]],""),"")="o","O",""))</f>
        <v>✓</v>
      </c>
      <c r="V33" s="62" t="s">
        <v>48</v>
      </c>
      <c r="W33" s="62" t="s">
        <v>48</v>
      </c>
      <c r="X33" s="62" t="s">
        <v>48</v>
      </c>
      <c r="Y33" s="62" t="s">
        <v>48</v>
      </c>
      <c r="Z33" s="62" t="s">
        <v>48</v>
      </c>
      <c r="AA33" s="62" t="s">
        <v>48</v>
      </c>
      <c r="AB33" s="31" t="str" cm="1">
        <f t="array" ref="AB33">IF(_xlfn.XLOOKUP($C33,Table1[[Countermeasure]:[Countermeasure]],_xlfn.XLOOKUP('Overall Table'!AB$1,Table1[[#Headers],[Bike Crashes, intersection turning conflicts]:[Speeding related vehicle crashes]],Table1[[Bike Crashes, intersection turning conflicts]:[Speeding related vehicle crashes]],""),"")="x","✓",IF(_xlfn.XLOOKUP($C33,Table1[NCHRP 926],_xlfn.XLOOKUP('Overall Table'!AB$1,Table1[[#Headers],[Bike Crashes, intersection turning conflicts]:[Speeding related vehicle crashes]],Table1[[Bike Crashes, intersection turning conflicts]:[Speeding related vehicle crashes]],""),"")="o","O",""))</f>
        <v>✓</v>
      </c>
      <c r="AC33" s="31" t="str" cm="1">
        <f t="array" ref="AC33">IF(_xlfn.XLOOKUP($C33,Table1[[Countermeasure]:[Countermeasure]],_xlfn.XLOOKUP('Overall Table'!AC$1,Table1[[#Headers],[Bike Crashes, intersection turning conflicts]:[Speeding related vehicle crashes]],Table1[[Bike Crashes, intersection turning conflicts]:[Speeding related vehicle crashes]],""),"")="x","✓",IF(_xlfn.XLOOKUP($C33,Table1[NCHRP 1033],_xlfn.XLOOKUP('Overall Table'!AC$1,Table1[[#Headers],[Bike Crashes, intersection turning conflicts]:[Speeding related vehicle crashes]],Table1[[Bike Crashes, intersection turning conflicts]:[Speeding related vehicle crashes]],""),"")="o","O",""))</f>
        <v>✓</v>
      </c>
      <c r="AD33" s="62" t="s">
        <v>48</v>
      </c>
    </row>
    <row r="34" spans="1:30" ht="25.5" thickBot="1" x14ac:dyDescent="0.4">
      <c r="A34" s="32" t="str">
        <f>_xlfn.XLOOKUP(C34,Table1[Countermeasure],Table1[Category (FHWA)],"")</f>
        <v>Roadway Departure</v>
      </c>
      <c r="B34" s="36" t="str">
        <f>_xlfn.XLOOKUP(A34,'Data Validation'!$A$2:$A$6,'Data Validation'!$C$2:$C$6,"")&amp;"."&amp;COUNTIF('Overall Table'!$A$2:A34,'Overall Table'!A34)</f>
        <v>RD.10</v>
      </c>
      <c r="C34" s="33" t="str">
        <f>'CM attributes, relevance'!A34</f>
        <v>Oversized signs (curve/advance intersection)</v>
      </c>
      <c r="D34" s="34"/>
      <c r="E34" s="35" t="str">
        <f>_xlfn.XLOOKUP(C34,'CMF source, cost, effectiveness'!$A$2:$A$101,'CMF source, cost, effectiveness'!$K$2:$K$101,"")</f>
        <v>Low</v>
      </c>
      <c r="F34" s="35" t="str">
        <f>_xlfn.XLOOKUP(C34,'CMF source, cost, effectiveness'!$A$2:$A$66,'CMF source, cost, effectiveness'!$M$2:$M$66,"")</f>
        <v>Less than 1 year</v>
      </c>
      <c r="G34" s="35" t="str">
        <f>_xlfn.XLOOKUP(C34,'CMF source, cost, effectiveness'!$A$2:$A$101,'CMF source, cost, effectiveness'!$L$2:$L$101,"")</f>
        <v>Proven</v>
      </c>
      <c r="H34" s="50" t="str">
        <f>_xlfn.XLOOKUP(C34,Table1[Countermeasure],Table1[Safe System Category],"")</f>
        <v>Safer Roads</v>
      </c>
      <c r="I34" s="62" t="s">
        <v>48</v>
      </c>
      <c r="J34" s="62" t="s">
        <v>48</v>
      </c>
      <c r="K34" s="62" t="s">
        <v>48</v>
      </c>
      <c r="L34" s="1" t="str">
        <f>IF(_xlfn.XLOOKUP($C34,Table1[Countermeasure],Table1[Increase Attentiveness &amp; Awareness])="x","✓","")</f>
        <v>✓</v>
      </c>
      <c r="M34" s="23" t="str">
        <f>IF(OR(_xlfn.XLOOKUP($C34,Table1[Countermeasure],Table1[Signalized Intersection KSI (equity)])="x",_xlfn.XLOOKUP($C34,Table1[Countermeasure],Table1[Bike Crashes, No facility, midblock (equity)])="x",_xlfn.XLOOKUP($C34,Table1[Countermeasure],Table1[Local Intersection, Injury (equity)])="x",_xlfn.XLOOKUP($C34,Table1[Countermeasure],Table1[Posted Speed 40+ mph (equity)])="x"),"✓","")</f>
        <v>✓</v>
      </c>
      <c r="N34" s="62" t="s">
        <v>48</v>
      </c>
      <c r="O34" s="2" t="str">
        <f>IF(_xlfn.XLOOKUP($C34,Table1[Countermeasure],Table1[Proven Safety Countermeasure])="x","Proven Safety Countermeasures",IF(_xlfn.XLOOKUP($C34,Table1[Countermeasure],Table1[Proven Safety Countermeasure])="Toolbox of Pedestrian Countermeasures","Toolbox of Pedestrian Countermeasures",""))</f>
        <v>Proven Safety Countermeasures</v>
      </c>
      <c r="P34" s="62" t="s">
        <v>48</v>
      </c>
      <c r="Q34" s="62" t="s">
        <v>48</v>
      </c>
      <c r="R34" s="62" t="s">
        <v>48</v>
      </c>
      <c r="S34" s="30" t="str" cm="1">
        <f t="array" ref="S34">IF(_xlfn.XLOOKUP($C34,Table1[[Countermeasure]:[Countermeasure]],_xlfn.XLOOKUP('Overall Table'!S$1,Table1[[#Headers],[Bike Crashes, intersection turning conflicts]:[Speeding related vehicle crashes]],Table1[[Bike Crashes, intersection turning conflicts]:[Speeding related vehicle crashes]],""),"")="x","✓",IF(_xlfn.XLOOKUP($C34,Table1[Countermeasure],_xlfn.XLOOKUP('Overall Table'!S$1,Table1[[#Headers],[Bike Crashes, intersection turning conflicts]:[Speeding related vehicle crashes]],Table1[[Bike Crashes, intersection turning conflicts]:[Speeding related vehicle crashes]],""),"")="o","O",""))</f>
        <v>✓</v>
      </c>
      <c r="T34" s="31" t="str" cm="1">
        <f t="array" ref="T34">IF(_xlfn.XLOOKUP($C34,Table1[[Countermeasure]:[Countermeasure]],_xlfn.XLOOKUP('Overall Table'!T$1,Table1[[#Headers],[Bike Crashes, intersection turning conflicts]:[Speeding related vehicle crashes]],Table1[[Bike Crashes, intersection turning conflicts]:[Speeding related vehicle crashes]],""),"")="x","✓",IF(_xlfn.XLOOKUP($C34,Table1[Remove Severe Conflicts],_xlfn.XLOOKUP('Overall Table'!T$1,Table1[[#Headers],[Bike Crashes, intersection turning conflicts]:[Speeding related vehicle crashes]],Table1[[Bike Crashes, intersection turning conflicts]:[Speeding related vehicle crashes]],""),"")="o","O",""))</f>
        <v>✓</v>
      </c>
      <c r="U34" s="31" t="str" cm="1">
        <f t="array" ref="U34">IF(_xlfn.XLOOKUP($C34,Table1[[Countermeasure]:[Countermeasure]],_xlfn.XLOOKUP('Overall Table'!U$1,Table1[[#Headers],[Bike Crashes, intersection turning conflicts]:[Speeding related vehicle crashes]],Table1[[Bike Crashes, intersection turning conflicts]:[Speeding related vehicle crashes]],""),"")="x","✓",IF(_xlfn.XLOOKUP($C34,Table1[Reduce Vehicle Speeds],_xlfn.XLOOKUP('Overall Table'!U$1,Table1[[#Headers],[Bike Crashes, intersection turning conflicts]:[Speeding related vehicle crashes]],Table1[[Bike Crashes, intersection turning conflicts]:[Speeding related vehicle crashes]],""),"")="o","O",""))</f>
        <v>✓</v>
      </c>
      <c r="V34" s="31" t="str" cm="1">
        <f t="array" ref="V34">IF(_xlfn.XLOOKUP($C34,Table1[[Countermeasure]:[Countermeasure]],_xlfn.XLOOKUP('Overall Table'!V$1,Table1[[#Headers],[Bike Crashes, intersection turning conflicts]:[Speeding related vehicle crashes]],Table1[[Bike Crashes, intersection turning conflicts]:[Speeding related vehicle crashes]],""),"")="x","✓",IF(_xlfn.XLOOKUP($C34,Table1[Manage Conflicts in Time],_xlfn.XLOOKUP('Overall Table'!V$1,Table1[[#Headers],[Bike Crashes, intersection turning conflicts]:[Speeding related vehicle crashes]],Table1[[Bike Crashes, intersection turning conflicts]:[Speeding related vehicle crashes]],""),"")="o","O",""))</f>
        <v>✓</v>
      </c>
      <c r="W34" s="62" t="s">
        <v>48</v>
      </c>
      <c r="X34" s="62" t="s">
        <v>48</v>
      </c>
      <c r="Y34" s="31" t="str" cm="1">
        <f t="array" ref="Y34">IF(_xlfn.XLOOKUP($C34,Table1[[Countermeasure]:[Countermeasure]],_xlfn.XLOOKUP('Overall Table'!Y$1,Table1[[#Headers],[Bike Crashes, intersection turning conflicts]:[Speeding related vehicle crashes]],Table1[[Bike Crashes, intersection turning conflicts]:[Speeding related vehicle crashes]],""),"")="x","✓",IF(_xlfn.XLOOKUP($C34,Table1[Category (FHWA)],_xlfn.XLOOKUP('Overall Table'!Y$1,Table1[[#Headers],[Bike Crashes, intersection turning conflicts]:[Speeding related vehicle crashes]],Table1[[Bike Crashes, intersection turning conflicts]:[Speeding related vehicle crashes]],""),"")="o","O",""))</f>
        <v>✓</v>
      </c>
      <c r="Z34" s="31" t="str" cm="1">
        <f t="array" ref="Z34">IF(_xlfn.XLOOKUP($C34,Table1[[Countermeasure]:[Countermeasure]],_xlfn.XLOOKUP('Overall Table'!Z$1,Table1[[#Headers],[Bike Crashes, intersection turning conflicts]:[Speeding related vehicle crashes]],Table1[[Bike Crashes, intersection turning conflicts]:[Speeding related vehicle crashes]],""),"")="x","✓",IF(_xlfn.XLOOKUP($C34,Table1[Proven Safety Countermeasure],_xlfn.XLOOKUP('Overall Table'!Z$1,Table1[[#Headers],[Bike Crashes, intersection turning conflicts]:[Speeding related vehicle crashes]],Table1[[Bike Crashes, intersection turning conflicts]:[Speeding related vehicle crashes]],""),"")="o","O",""))</f>
        <v>✓</v>
      </c>
      <c r="AA34" s="62" t="s">
        <v>48</v>
      </c>
      <c r="AB34" s="31" t="str" cm="1">
        <f t="array" ref="AB34">IF(_xlfn.XLOOKUP($C34,Table1[[Countermeasure]:[Countermeasure]],_xlfn.XLOOKUP('Overall Table'!AB$1,Table1[[#Headers],[Bike Crashes, intersection turning conflicts]:[Speeding related vehicle crashes]],Table1[[Bike Crashes, intersection turning conflicts]:[Speeding related vehicle crashes]],""),"")="x","✓",IF(_xlfn.XLOOKUP($C34,Table1[NCHRP 926],_xlfn.XLOOKUP('Overall Table'!AB$1,Table1[[#Headers],[Bike Crashes, intersection turning conflicts]:[Speeding related vehicle crashes]],Table1[[Bike Crashes, intersection turning conflicts]:[Speeding related vehicle crashes]],""),"")="o","O",""))</f>
        <v>✓</v>
      </c>
      <c r="AC34" s="31" t="str" cm="1">
        <f t="array" ref="AC34">IF(_xlfn.XLOOKUP($C34,Table1[[Countermeasure]:[Countermeasure]],_xlfn.XLOOKUP('Overall Table'!AC$1,Table1[[#Headers],[Bike Crashes, intersection turning conflicts]:[Speeding related vehicle crashes]],Table1[[Bike Crashes, intersection turning conflicts]:[Speeding related vehicle crashes]],""),"")="x","✓",IF(_xlfn.XLOOKUP($C34,Table1[NCHRP 1033],_xlfn.XLOOKUP('Overall Table'!AC$1,Table1[[#Headers],[Bike Crashes, intersection turning conflicts]:[Speeding related vehicle crashes]],Table1[[Bike Crashes, intersection turning conflicts]:[Speeding related vehicle crashes]],""),"")="o","O",""))</f>
        <v>✓</v>
      </c>
      <c r="AD34" s="62" t="s">
        <v>48</v>
      </c>
    </row>
    <row r="35" spans="1:30" ht="25.5" thickBot="1" x14ac:dyDescent="0.4">
      <c r="A35" s="32" t="str">
        <f>_xlfn.XLOOKUP(C35,Table1[Countermeasure],Table1[Category (FHWA)],"")</f>
        <v>Roadway Departure</v>
      </c>
      <c r="B35" s="36" t="str">
        <f>_xlfn.XLOOKUP(A35,'Data Validation'!$A$2:$A$6,'Data Validation'!$C$2:$C$6,"")&amp;"."&amp;COUNTIF('Overall Table'!$A$2:A35,'Overall Table'!A35)</f>
        <v>RD.11</v>
      </c>
      <c r="C35" s="33" t="str">
        <f>'CM attributes, relevance'!A35</f>
        <v>High reflectivity signs (curve/advance intersection)</v>
      </c>
      <c r="D35" s="34"/>
      <c r="E35" s="35" t="str">
        <f>_xlfn.XLOOKUP(C35,'CMF source, cost, effectiveness'!$A$2:$A$101,'CMF source, cost, effectiveness'!$K$2:$K$101,"")</f>
        <v>Low</v>
      </c>
      <c r="F35" s="35" t="str">
        <f>_xlfn.XLOOKUP(C35,'CMF source, cost, effectiveness'!$A$2:$A$66,'CMF source, cost, effectiveness'!$M$2:$M$66,"")</f>
        <v>Less than 1 year</v>
      </c>
      <c r="G35" s="35" t="str">
        <f>_xlfn.XLOOKUP(C35,'CMF source, cost, effectiveness'!$A$2:$A$101,'CMF source, cost, effectiveness'!$L$2:$L$101,"")</f>
        <v>Proven</v>
      </c>
      <c r="H35" s="50" t="str">
        <f>_xlfn.XLOOKUP(C35,Table1[Countermeasure],Table1[Safe System Category],"")</f>
        <v>Safer Roads</v>
      </c>
      <c r="I35" s="62" t="s">
        <v>48</v>
      </c>
      <c r="J35" s="62" t="s">
        <v>48</v>
      </c>
      <c r="K35" s="62" t="s">
        <v>48</v>
      </c>
      <c r="L35" s="1" t="str">
        <f>IF(_xlfn.XLOOKUP($C35,Table1[Countermeasure],Table1[Increase Attentiveness &amp; Awareness])="x","✓","")</f>
        <v>✓</v>
      </c>
      <c r="M35" s="23" t="str">
        <f>IF(OR(_xlfn.XLOOKUP($C35,Table1[Countermeasure],Table1[Signalized Intersection KSI (equity)])="x",_xlfn.XLOOKUP($C35,Table1[Countermeasure],Table1[Bike Crashes, No facility, midblock (equity)])="x",_xlfn.XLOOKUP($C35,Table1[Countermeasure],Table1[Local Intersection, Injury (equity)])="x",_xlfn.XLOOKUP($C35,Table1[Countermeasure],Table1[Posted Speed 40+ mph (equity)])="x"),"✓","")</f>
        <v>✓</v>
      </c>
      <c r="N35" s="2" t="str">
        <f>IF(NOT(ISERROR(SEARCH("CMF",_xlfn.XLOOKUP($C35,'CMF source, cost, effectiveness'!$A$2:$A$62,'CMF source, cost, effectiveness'!$G$2:$G$62)))),_xlfn.XLOOKUP($C35,'CMF source, cost, effectiveness'!$A$2:$A$62,'CMF source, cost, effectiveness'!$G$2:$G$62),"")</f>
        <v>CMF 2434</v>
      </c>
      <c r="O35" s="2" t="str">
        <f>IF(_xlfn.XLOOKUP($C35,Table1[Countermeasure],Table1[Proven Safety Countermeasure])="x","Proven Safety Countermeasures",IF(_xlfn.XLOOKUP($C35,Table1[Countermeasure],Table1[Proven Safety Countermeasure])="Toolbox of Pedestrian Countermeasures","Toolbox of Pedestrian Countermeasures",""))</f>
        <v>Proven Safety Countermeasures</v>
      </c>
      <c r="P35" s="62" t="s">
        <v>48</v>
      </c>
      <c r="Q35" s="62" t="s">
        <v>48</v>
      </c>
      <c r="R35" s="62" t="s">
        <v>48</v>
      </c>
      <c r="S35" s="30" t="str" cm="1">
        <f t="array" ref="S35">IF(_xlfn.XLOOKUP($C35,Table1[[Countermeasure]:[Countermeasure]],_xlfn.XLOOKUP('Overall Table'!S$1,Table1[[#Headers],[Bike Crashes, intersection turning conflicts]:[Speeding related vehicle crashes]],Table1[[Bike Crashes, intersection turning conflicts]:[Speeding related vehicle crashes]],""),"")="x","✓",IF(_xlfn.XLOOKUP($C35,Table1[Countermeasure],_xlfn.XLOOKUP('Overall Table'!S$1,Table1[[#Headers],[Bike Crashes, intersection turning conflicts]:[Speeding related vehicle crashes]],Table1[[Bike Crashes, intersection turning conflicts]:[Speeding related vehicle crashes]],""),"")="o","O",""))</f>
        <v>✓</v>
      </c>
      <c r="T35" s="31" t="str" cm="1">
        <f t="array" ref="T35">IF(_xlfn.XLOOKUP($C35,Table1[[Countermeasure]:[Countermeasure]],_xlfn.XLOOKUP('Overall Table'!T$1,Table1[[#Headers],[Bike Crashes, intersection turning conflicts]:[Speeding related vehicle crashes]],Table1[[Bike Crashes, intersection turning conflicts]:[Speeding related vehicle crashes]],""),"")="x","✓",IF(_xlfn.XLOOKUP($C35,Table1[Remove Severe Conflicts],_xlfn.XLOOKUP('Overall Table'!T$1,Table1[[#Headers],[Bike Crashes, intersection turning conflicts]:[Speeding related vehicle crashes]],Table1[[Bike Crashes, intersection turning conflicts]:[Speeding related vehicle crashes]],""),"")="o","O",""))</f>
        <v>✓</v>
      </c>
      <c r="U35" s="31" t="str" cm="1">
        <f t="array" ref="U35">IF(_xlfn.XLOOKUP($C35,Table1[[Countermeasure]:[Countermeasure]],_xlfn.XLOOKUP('Overall Table'!U$1,Table1[[#Headers],[Bike Crashes, intersection turning conflicts]:[Speeding related vehicle crashes]],Table1[[Bike Crashes, intersection turning conflicts]:[Speeding related vehicle crashes]],""),"")="x","✓",IF(_xlfn.XLOOKUP($C35,Table1[Reduce Vehicle Speeds],_xlfn.XLOOKUP('Overall Table'!U$1,Table1[[#Headers],[Bike Crashes, intersection turning conflicts]:[Speeding related vehicle crashes]],Table1[[Bike Crashes, intersection turning conflicts]:[Speeding related vehicle crashes]],""),"")="o","O",""))</f>
        <v>✓</v>
      </c>
      <c r="V35" s="31" t="str" cm="1">
        <f t="array" ref="V35">IF(_xlfn.XLOOKUP($C35,Table1[[Countermeasure]:[Countermeasure]],_xlfn.XLOOKUP('Overall Table'!V$1,Table1[[#Headers],[Bike Crashes, intersection turning conflicts]:[Speeding related vehicle crashes]],Table1[[Bike Crashes, intersection turning conflicts]:[Speeding related vehicle crashes]],""),"")="x","✓",IF(_xlfn.XLOOKUP($C35,Table1[Manage Conflicts in Time],_xlfn.XLOOKUP('Overall Table'!V$1,Table1[[#Headers],[Bike Crashes, intersection turning conflicts]:[Speeding related vehicle crashes]],Table1[[Bike Crashes, intersection turning conflicts]:[Speeding related vehicle crashes]],""),"")="o","O",""))</f>
        <v>✓</v>
      </c>
      <c r="W35" s="62" t="s">
        <v>48</v>
      </c>
      <c r="X35" s="62" t="s">
        <v>48</v>
      </c>
      <c r="Y35" s="31" t="str" cm="1">
        <f t="array" ref="Y35">IF(_xlfn.XLOOKUP($C35,Table1[[Countermeasure]:[Countermeasure]],_xlfn.XLOOKUP('Overall Table'!Y$1,Table1[[#Headers],[Bike Crashes, intersection turning conflicts]:[Speeding related vehicle crashes]],Table1[[Bike Crashes, intersection turning conflicts]:[Speeding related vehicle crashes]],""),"")="x","✓",IF(_xlfn.XLOOKUP($C35,Table1[Category (FHWA)],_xlfn.XLOOKUP('Overall Table'!Y$1,Table1[[#Headers],[Bike Crashes, intersection turning conflicts]:[Speeding related vehicle crashes]],Table1[[Bike Crashes, intersection turning conflicts]:[Speeding related vehicle crashes]],""),"")="o","O",""))</f>
        <v>✓</v>
      </c>
      <c r="Z35" s="31" t="str" cm="1">
        <f t="array" ref="Z35">IF(_xlfn.XLOOKUP($C35,Table1[[Countermeasure]:[Countermeasure]],_xlfn.XLOOKUP('Overall Table'!Z$1,Table1[[#Headers],[Bike Crashes, intersection turning conflicts]:[Speeding related vehicle crashes]],Table1[[Bike Crashes, intersection turning conflicts]:[Speeding related vehicle crashes]],""),"")="x","✓",IF(_xlfn.XLOOKUP($C35,Table1[Proven Safety Countermeasure],_xlfn.XLOOKUP('Overall Table'!Z$1,Table1[[#Headers],[Bike Crashes, intersection turning conflicts]:[Speeding related vehicle crashes]],Table1[[Bike Crashes, intersection turning conflicts]:[Speeding related vehicle crashes]],""),"")="o","O",""))</f>
        <v>✓</v>
      </c>
      <c r="AA35" s="62" t="s">
        <v>48</v>
      </c>
      <c r="AB35" s="31" t="str" cm="1">
        <f t="array" ref="AB35">IF(_xlfn.XLOOKUP($C35,Table1[[Countermeasure]:[Countermeasure]],_xlfn.XLOOKUP('Overall Table'!AB$1,Table1[[#Headers],[Bike Crashes, intersection turning conflicts]:[Speeding related vehicle crashes]],Table1[[Bike Crashes, intersection turning conflicts]:[Speeding related vehicle crashes]],""),"")="x","✓",IF(_xlfn.XLOOKUP($C35,Table1[NCHRP 926],_xlfn.XLOOKUP('Overall Table'!AB$1,Table1[[#Headers],[Bike Crashes, intersection turning conflicts]:[Speeding related vehicle crashes]],Table1[[Bike Crashes, intersection turning conflicts]:[Speeding related vehicle crashes]],""),"")="o","O",""))</f>
        <v>✓</v>
      </c>
      <c r="AC35" s="31" t="str" cm="1">
        <f t="array" ref="AC35">IF(_xlfn.XLOOKUP($C35,Table1[[Countermeasure]:[Countermeasure]],_xlfn.XLOOKUP('Overall Table'!AC$1,Table1[[#Headers],[Bike Crashes, intersection turning conflicts]:[Speeding related vehicle crashes]],Table1[[Bike Crashes, intersection turning conflicts]:[Speeding related vehicle crashes]],""),"")="x","✓",IF(_xlfn.XLOOKUP($C35,Table1[NCHRP 1033],_xlfn.XLOOKUP('Overall Table'!AC$1,Table1[[#Headers],[Bike Crashes, intersection turning conflicts]:[Speeding related vehicle crashes]],Table1[[Bike Crashes, intersection turning conflicts]:[Speeding related vehicle crashes]],""),"")="o","O",""))</f>
        <v>✓</v>
      </c>
      <c r="AD35" s="62" t="s">
        <v>48</v>
      </c>
    </row>
    <row r="36" spans="1:30" ht="25.5" thickBot="1" x14ac:dyDescent="0.4">
      <c r="A36" s="32" t="str">
        <f>_xlfn.XLOOKUP(C36,Table1[Countermeasure],Table1[Category (FHWA)],"")</f>
        <v>Intersections</v>
      </c>
      <c r="B36" s="36" t="str">
        <f>_xlfn.XLOOKUP(A36,'Data Validation'!$A$2:$A$6,'Data Validation'!$C$2:$C$6,"")&amp;"."&amp;COUNTIF('Overall Table'!$A$2:A36,'Overall Table'!A36)</f>
        <v>IN.1</v>
      </c>
      <c r="C36" s="33" t="str">
        <f>'CM attributes, relevance'!A36</f>
        <v>Roundabouts</v>
      </c>
      <c r="D36" s="34"/>
      <c r="E36" s="35" t="str">
        <f>_xlfn.XLOOKUP(C36,'CMF source, cost, effectiveness'!$A$2:$A$101,'CMF source, cost, effectiveness'!$K$2:$K$101,"")</f>
        <v>High</v>
      </c>
      <c r="F36" s="35" t="str">
        <f>_xlfn.XLOOKUP(C36,'CMF source, cost, effectiveness'!$A$2:$A$66,'CMF source, cost, effectiveness'!$M$2:$M$66,"")</f>
        <v>More than 2 years</v>
      </c>
      <c r="G36" s="35" t="str">
        <f>_xlfn.XLOOKUP(C36,'CMF source, cost, effectiveness'!$A$2:$A$101,'CMF source, cost, effectiveness'!$L$2:$L$101,"")</f>
        <v>Proven</v>
      </c>
      <c r="H36" s="50" t="str">
        <f>_xlfn.XLOOKUP(C36,Table1[Countermeasure],Table1[Safe System Category],"")</f>
        <v>Safer Roads</v>
      </c>
      <c r="I36" s="1" t="str">
        <f>IF(_xlfn.XLOOKUP($C36,Table1[Countermeasure],Table1[Remove Severe Conflicts])="x","✓","")</f>
        <v>✓</v>
      </c>
      <c r="J36" s="1" t="str">
        <f>IF(_xlfn.XLOOKUP($C36,Table1[Countermeasure],Table1[Reduce Vehicle Speeds])="x","✓","")</f>
        <v>✓</v>
      </c>
      <c r="K36" s="62" t="s">
        <v>48</v>
      </c>
      <c r="L36" s="62" t="s">
        <v>48</v>
      </c>
      <c r="M36" s="23" t="str">
        <f>IF(OR(_xlfn.XLOOKUP($C36,Table1[Countermeasure],Table1[Signalized Intersection KSI (equity)])="x",_xlfn.XLOOKUP($C36,Table1[Countermeasure],Table1[Bike Crashes, No facility, midblock (equity)])="x",_xlfn.XLOOKUP($C36,Table1[Countermeasure],Table1[Local Intersection, Injury (equity)])="x",_xlfn.XLOOKUP($C36,Table1[Countermeasure],Table1[Posted Speed 40+ mph (equity)])="x"),"✓","")</f>
        <v>✓</v>
      </c>
      <c r="N36" s="2" t="str">
        <f>IF(NOT(ISERROR(SEARCH("CMF",_xlfn.XLOOKUP($C36,'CMF source, cost, effectiveness'!$A$2:$A$62,'CMF source, cost, effectiveness'!$G$2:$G$62)))),_xlfn.XLOOKUP($C36,'CMF source, cost, effectiveness'!$A$2:$A$62,'CMF source, cost, effectiveness'!$G$2:$G$62),"")</f>
        <v>CMF 4870</v>
      </c>
      <c r="O36" s="2" t="str">
        <f>IF(_xlfn.XLOOKUP($C36,Table1[Countermeasure],Table1[Proven Safety Countermeasure])="x","Proven Safety Countermeasures",IF(_xlfn.XLOOKUP($C36,Table1[Countermeasure],Table1[Proven Safety Countermeasure])="Toolbox of Pedestrian Countermeasures","Toolbox of Pedestrian Countermeasures",""))</f>
        <v>Proven Safety Countermeasures</v>
      </c>
      <c r="P36" s="62" t="s">
        <v>48</v>
      </c>
      <c r="Q36" s="62" t="s">
        <v>48</v>
      </c>
      <c r="R36" s="2" t="str">
        <f>IF(_xlfn.XLOOKUP($C36,Table1[Countermeasure],Table1[NCHRP 926])="x","NCHRP 926","")</f>
        <v>NCHRP 926</v>
      </c>
      <c r="S36" s="62" t="s">
        <v>48</v>
      </c>
      <c r="T36" s="31" t="str" cm="1">
        <f t="array" ref="T36">IF(_xlfn.XLOOKUP($C36,Table1[[Countermeasure]:[Countermeasure]],_xlfn.XLOOKUP('Overall Table'!T$1,Table1[[#Headers],[Bike Crashes, intersection turning conflicts]:[Speeding related vehicle crashes]],Table1[[Bike Crashes, intersection turning conflicts]:[Speeding related vehicle crashes]],""),"")="x","✓",IF(_xlfn.XLOOKUP($C36,Table1[Remove Severe Conflicts],_xlfn.XLOOKUP('Overall Table'!T$1,Table1[[#Headers],[Bike Crashes, intersection turning conflicts]:[Speeding related vehicle crashes]],Table1[[Bike Crashes, intersection turning conflicts]:[Speeding related vehicle crashes]],""),"")="o","O",""))</f>
        <v>✓</v>
      </c>
      <c r="U36" s="62" t="s">
        <v>48</v>
      </c>
      <c r="V36" s="31" t="str" cm="1">
        <f t="array" ref="V36">IF(_xlfn.XLOOKUP($C36,Table1[[Countermeasure]:[Countermeasure]],_xlfn.XLOOKUP('Overall Table'!V$1,Table1[[#Headers],[Bike Crashes, intersection turning conflicts]:[Speeding related vehicle crashes]],Table1[[Bike Crashes, intersection turning conflicts]:[Speeding related vehicle crashes]],""),"")="x","✓",IF(_xlfn.XLOOKUP($C36,Table1[Manage Conflicts in Time],_xlfn.XLOOKUP('Overall Table'!V$1,Table1[[#Headers],[Bike Crashes, intersection turning conflicts]:[Speeding related vehicle crashes]],Table1[[Bike Crashes, intersection turning conflicts]:[Speeding related vehicle crashes]],""),"")="o","O",""))</f>
        <v>✓</v>
      </c>
      <c r="W36" s="62" t="s">
        <v>48</v>
      </c>
      <c r="X36" s="31" t="str" cm="1">
        <f t="array" ref="X36">IF(_xlfn.XLOOKUP($C36,Table1[[Countermeasure]:[Countermeasure]],_xlfn.XLOOKUP('Overall Table'!X$1,Table1[[#Headers],[Bike Crashes, intersection turning conflicts]:[Speeding related vehicle crashes]],Table1[[Bike Crashes, intersection turning conflicts]:[Speeding related vehicle crashes]],""),"")="x","✓",IF(_xlfn.XLOOKUP($C36,Table1[FHWA helper],_xlfn.XLOOKUP('Overall Table'!X$1,Table1[[#Headers],[Bike Crashes, intersection turning conflicts]:[Speeding related vehicle crashes]],Table1[[Bike Crashes, intersection turning conflicts]:[Speeding related vehicle crashes]],""),"")="o","O",""))</f>
        <v>✓</v>
      </c>
      <c r="Y36" s="31" t="str" cm="1">
        <f t="array" ref="Y36">IF(_xlfn.XLOOKUP($C36,Table1[[Countermeasure]:[Countermeasure]],_xlfn.XLOOKUP('Overall Table'!Y$1,Table1[[#Headers],[Bike Crashes, intersection turning conflicts]:[Speeding related vehicle crashes]],Table1[[Bike Crashes, intersection turning conflicts]:[Speeding related vehicle crashes]],""),"")="x","✓",IF(_xlfn.XLOOKUP($C36,Table1[Category (FHWA)],_xlfn.XLOOKUP('Overall Table'!Y$1,Table1[[#Headers],[Bike Crashes, intersection turning conflicts]:[Speeding related vehicle crashes]],Table1[[Bike Crashes, intersection turning conflicts]:[Speeding related vehicle crashes]],""),"")="o","O",""))</f>
        <v>✓</v>
      </c>
      <c r="Z36" s="31" t="str" cm="1">
        <f t="array" ref="Z36">IF(_xlfn.XLOOKUP($C36,Table1[[Countermeasure]:[Countermeasure]],_xlfn.XLOOKUP('Overall Table'!Z$1,Table1[[#Headers],[Bike Crashes, intersection turning conflicts]:[Speeding related vehicle crashes]],Table1[[Bike Crashes, intersection turning conflicts]:[Speeding related vehicle crashes]],""),"")="x","✓",IF(_xlfn.XLOOKUP($C36,Table1[Proven Safety Countermeasure],_xlfn.XLOOKUP('Overall Table'!Z$1,Table1[[#Headers],[Bike Crashes, intersection turning conflicts]:[Speeding related vehicle crashes]],Table1[[Bike Crashes, intersection turning conflicts]:[Speeding related vehicle crashes]],""),"")="o","O",""))</f>
        <v>✓</v>
      </c>
      <c r="AA36" s="31" t="str" cm="1">
        <f t="array" ref="AA36">IF(_xlfn.XLOOKUP($C36,Table1[[Countermeasure]:[Countermeasure]],_xlfn.XLOOKUP('Overall Table'!AA$1,Table1[[#Headers],[Bike Crashes, intersection turning conflicts]:[Speeding related vehicle crashes]],Table1[[Bike Crashes, intersection turning conflicts]:[Speeding related vehicle crashes]],""),"")="x","✓",IF(_xlfn.XLOOKUP($C36,Table1[MnDOT District Roadway Safety "Big Book of Ideas"],_xlfn.XLOOKUP('Overall Table'!AA$1,Table1[[#Headers],[Bike Crashes, intersection turning conflicts]:[Speeding related vehicle crashes]],Table1[[Bike Crashes, intersection turning conflicts]:[Speeding related vehicle crashes]],""),"")="o","O",""))</f>
        <v>✓</v>
      </c>
      <c r="AB36" s="31" t="str" cm="1">
        <f t="array" ref="AB36">IF(_xlfn.XLOOKUP($C36,Table1[[Countermeasure]:[Countermeasure]],_xlfn.XLOOKUP('Overall Table'!AB$1,Table1[[#Headers],[Bike Crashes, intersection turning conflicts]:[Speeding related vehicle crashes]],Table1[[Bike Crashes, intersection turning conflicts]:[Speeding related vehicle crashes]],""),"")="x","✓",IF(_xlfn.XLOOKUP($C36,Table1[NCHRP 926],_xlfn.XLOOKUP('Overall Table'!AB$1,Table1[[#Headers],[Bike Crashes, intersection turning conflicts]:[Speeding related vehicle crashes]],Table1[[Bike Crashes, intersection turning conflicts]:[Speeding related vehicle crashes]],""),"")="o","O",""))</f>
        <v>✓</v>
      </c>
      <c r="AC36" s="31" t="str" cm="1">
        <f t="array" ref="AC36">IF(_xlfn.XLOOKUP($C36,Table1[[Countermeasure]:[Countermeasure]],_xlfn.XLOOKUP('Overall Table'!AC$1,Table1[[#Headers],[Bike Crashes, intersection turning conflicts]:[Speeding related vehicle crashes]],Table1[[Bike Crashes, intersection turning conflicts]:[Speeding related vehicle crashes]],""),"")="x","✓",IF(_xlfn.XLOOKUP($C36,Table1[NCHRP 1033],_xlfn.XLOOKUP('Overall Table'!AC$1,Table1[[#Headers],[Bike Crashes, intersection turning conflicts]:[Speeding related vehicle crashes]],Table1[[Bike Crashes, intersection turning conflicts]:[Speeding related vehicle crashes]],""),"")="o","O",""))</f>
        <v>✓</v>
      </c>
      <c r="AD36" s="62" t="s">
        <v>48</v>
      </c>
    </row>
    <row r="37" spans="1:30" ht="25.5" thickBot="1" x14ac:dyDescent="0.4">
      <c r="A37" s="32" t="str">
        <f>_xlfn.XLOOKUP(C37,Table1[Countermeasure],Table1[Category (FHWA)],"")</f>
        <v>Intersections</v>
      </c>
      <c r="B37" s="36" t="str">
        <f>_xlfn.XLOOKUP(A37,'Data Validation'!$A$2:$A$6,'Data Validation'!$C$2:$C$6,"")&amp;"."&amp;COUNTIF('Overall Table'!$A$2:A37,'Overall Table'!A37)</f>
        <v>IN.2</v>
      </c>
      <c r="C37" s="33" t="str">
        <f>'CM attributes, relevance'!A37</f>
        <v>Driveway improvement (access management)</v>
      </c>
      <c r="D37" s="34"/>
      <c r="E37" s="35" t="str">
        <f>_xlfn.XLOOKUP(C37,'CMF source, cost, effectiveness'!$A$2:$A$101,'CMF source, cost, effectiveness'!$K$2:$K$101,"")</f>
        <v>High</v>
      </c>
      <c r="F37" s="35" t="str">
        <f>_xlfn.XLOOKUP(C37,'CMF source, cost, effectiveness'!$A$2:$A$66,'CMF source, cost, effectiveness'!$M$2:$M$66,"")</f>
        <v>More than 2 years</v>
      </c>
      <c r="G37" s="35" t="str">
        <f>_xlfn.XLOOKUP(C37,'CMF source, cost, effectiveness'!$A$2:$A$101,'CMF source, cost, effectiveness'!$L$2:$L$101,"")</f>
        <v>Proven</v>
      </c>
      <c r="H37" s="50" t="str">
        <f>_xlfn.XLOOKUP(C37,Table1[Countermeasure],Table1[Safe System Category],"")</f>
        <v>Safer Roads</v>
      </c>
      <c r="I37" s="1" t="str">
        <f>IF(_xlfn.XLOOKUP($C37,Table1[Countermeasure],Table1[Remove Severe Conflicts])="x","✓","")</f>
        <v>✓</v>
      </c>
      <c r="J37" s="1" t="str">
        <f>IF(_xlfn.XLOOKUP($C37,Table1[Countermeasure],Table1[Reduce Vehicle Speeds])="x","✓","")</f>
        <v>✓</v>
      </c>
      <c r="K37" s="62" t="s">
        <v>48</v>
      </c>
      <c r="L37" s="62" t="s">
        <v>48</v>
      </c>
      <c r="M37" s="23" t="str">
        <f>IF(OR(_xlfn.XLOOKUP($C37,Table1[Countermeasure],Table1[Signalized Intersection KSI (equity)])="x",_xlfn.XLOOKUP($C37,Table1[Countermeasure],Table1[Bike Crashes, No facility, midblock (equity)])="x",_xlfn.XLOOKUP($C37,Table1[Countermeasure],Table1[Local Intersection, Injury (equity)])="x",_xlfn.XLOOKUP($C37,Table1[Countermeasure],Table1[Posted Speed 40+ mph (equity)])="x"),"✓","")</f>
        <v>✓</v>
      </c>
      <c r="N37" s="2" t="str">
        <f>IF(NOT(ISERROR(SEARCH("CMF",_xlfn.XLOOKUP($C37,'CMF source, cost, effectiveness'!$A$2:$A$62,'CMF source, cost, effectiveness'!$G$2:$G$62)))),_xlfn.XLOOKUP($C37,'CMF source, cost, effectiveness'!$A$2:$A$62,'CMF source, cost, effectiveness'!$G$2:$G$62),"")</f>
        <v>CMF 3097</v>
      </c>
      <c r="O37" s="2" t="str">
        <f>IF(_xlfn.XLOOKUP($C37,Table1[Countermeasure],Table1[Proven Safety Countermeasure])="x","Proven Safety Countermeasures",IF(_xlfn.XLOOKUP($C37,Table1[Countermeasure],Table1[Proven Safety Countermeasure])="Toolbox of Pedestrian Countermeasures","Toolbox of Pedestrian Countermeasures",""))</f>
        <v>Proven Safety Countermeasures</v>
      </c>
      <c r="P37" s="62" t="s">
        <v>48</v>
      </c>
      <c r="Q37" s="62" t="s">
        <v>48</v>
      </c>
      <c r="R37" s="62" t="s">
        <v>48</v>
      </c>
      <c r="S37" s="62" t="s">
        <v>48</v>
      </c>
      <c r="T37" s="62" t="s">
        <v>48</v>
      </c>
      <c r="U37" s="31" t="str" cm="1">
        <f t="array" ref="U37">IF(_xlfn.XLOOKUP($C37,Table1[[Countermeasure]:[Countermeasure]],_xlfn.XLOOKUP('Overall Table'!U$1,Table1[[#Headers],[Bike Crashes, intersection turning conflicts]:[Speeding related vehicle crashes]],Table1[[Bike Crashes, intersection turning conflicts]:[Speeding related vehicle crashes]],""),"")="x","✓",IF(_xlfn.XLOOKUP($C37,Table1[Reduce Vehicle Speeds],_xlfn.XLOOKUP('Overall Table'!U$1,Table1[[#Headers],[Bike Crashes, intersection turning conflicts]:[Speeding related vehicle crashes]],Table1[[Bike Crashes, intersection turning conflicts]:[Speeding related vehicle crashes]],""),"")="o","O",""))</f>
        <v>✓</v>
      </c>
      <c r="V37" s="31" t="str" cm="1">
        <f t="array" ref="V37">IF(_xlfn.XLOOKUP($C37,Table1[[Countermeasure]:[Countermeasure]],_xlfn.XLOOKUP('Overall Table'!V$1,Table1[[#Headers],[Bike Crashes, intersection turning conflicts]:[Speeding related vehicle crashes]],Table1[[Bike Crashes, intersection turning conflicts]:[Speeding related vehicle crashes]],""),"")="x","✓",IF(_xlfn.XLOOKUP($C37,Table1[Manage Conflicts in Time],_xlfn.XLOOKUP('Overall Table'!V$1,Table1[[#Headers],[Bike Crashes, intersection turning conflicts]:[Speeding related vehicle crashes]],Table1[[Bike Crashes, intersection turning conflicts]:[Speeding related vehicle crashes]],""),"")="o","O",""))</f>
        <v>✓</v>
      </c>
      <c r="W37" s="31" t="str" cm="1">
        <f t="array" ref="W37">IF(_xlfn.XLOOKUP($C37,Table1[[Countermeasure]:[Countermeasure]],_xlfn.XLOOKUP('Overall Table'!W$1,Table1[[#Headers],[Bike Crashes, intersection turning conflicts]:[Speeding related vehicle crashes]],Table1[[Bike Crashes, intersection turning conflicts]:[Speeding related vehicle crashes]],""),"")="x","✓",IF(_xlfn.XLOOKUP($C37,Table1[Increase Attentiveness &amp; Awareness],_xlfn.XLOOKUP('Overall Table'!W$1,Table1[[#Headers],[Bike Crashes, intersection turning conflicts]:[Speeding related vehicle crashes]],Table1[[Bike Crashes, intersection turning conflicts]:[Speeding related vehicle crashes]],""),"")="o","O",""))</f>
        <v>✓</v>
      </c>
      <c r="X37" s="62" t="s">
        <v>48</v>
      </c>
      <c r="Y37" s="31" t="str" cm="1">
        <f t="array" ref="Y37">IF(_xlfn.XLOOKUP($C37,Table1[[Countermeasure]:[Countermeasure]],_xlfn.XLOOKUP('Overall Table'!Y$1,Table1[[#Headers],[Bike Crashes, intersection turning conflicts]:[Speeding related vehicle crashes]],Table1[[Bike Crashes, intersection turning conflicts]:[Speeding related vehicle crashes]],""),"")="x","✓",IF(_xlfn.XLOOKUP($C37,Table1[Category (FHWA)],_xlfn.XLOOKUP('Overall Table'!Y$1,Table1[[#Headers],[Bike Crashes, intersection turning conflicts]:[Speeding related vehicle crashes]],Table1[[Bike Crashes, intersection turning conflicts]:[Speeding related vehicle crashes]],""),"")="o","O",""))</f>
        <v>✓</v>
      </c>
      <c r="Z37" s="62" t="s">
        <v>48</v>
      </c>
      <c r="AA37" s="62" t="s">
        <v>48</v>
      </c>
      <c r="AB37" s="62" t="s">
        <v>48</v>
      </c>
      <c r="AC37" s="62" t="s">
        <v>48</v>
      </c>
      <c r="AD37" s="62" t="s">
        <v>48</v>
      </c>
    </row>
    <row r="38" spans="1:30" ht="25.5" thickBot="1" x14ac:dyDescent="0.4">
      <c r="A38" s="32" t="str">
        <f>_xlfn.XLOOKUP(C38,Table1[Countermeasure],Table1[Category (FHWA)],"")</f>
        <v>Intersections</v>
      </c>
      <c r="B38" s="36" t="str">
        <f>_xlfn.XLOOKUP(A38,'Data Validation'!$A$2:$A$6,'Data Validation'!$C$2:$C$6,"")&amp;"."&amp;COUNTIF('Overall Table'!$A$2:A38,'Overall Table'!A38)</f>
        <v>IN.3</v>
      </c>
      <c r="C38" s="33" t="str">
        <f>'CM attributes, relevance'!A38</f>
        <v>Alternative intersections - Unsignalized RCUT</v>
      </c>
      <c r="D38" s="34"/>
      <c r="E38" s="35" t="str">
        <f>_xlfn.XLOOKUP(C38,'CMF source, cost, effectiveness'!$A$2:$A$101,'CMF source, cost, effectiveness'!$K$2:$K$101,"")</f>
        <v>High</v>
      </c>
      <c r="F38" s="35" t="str">
        <f>_xlfn.XLOOKUP(C38,'CMF source, cost, effectiveness'!$A$2:$A$66,'CMF source, cost, effectiveness'!$M$2:$M$66,"")</f>
        <v>More than 2 years</v>
      </c>
      <c r="G38" s="35" t="str">
        <f>_xlfn.XLOOKUP(C38,'CMF source, cost, effectiveness'!$A$2:$A$101,'CMF source, cost, effectiveness'!$L$2:$L$101,"")</f>
        <v>Proven</v>
      </c>
      <c r="H38" s="50" t="str">
        <f>_xlfn.XLOOKUP(C38,Table1[Countermeasure],Table1[Safe System Category],"")</f>
        <v>Safer Roads</v>
      </c>
      <c r="I38" s="1" t="str">
        <f>IF(_xlfn.XLOOKUP($C38,Table1[Countermeasure],Table1[Remove Severe Conflicts])="x","✓","")</f>
        <v>✓</v>
      </c>
      <c r="J38" s="62" t="s">
        <v>48</v>
      </c>
      <c r="K38" s="62" t="s">
        <v>48</v>
      </c>
      <c r="L38" s="62" t="s">
        <v>48</v>
      </c>
      <c r="M38" s="23" t="str">
        <f>IF(OR(_xlfn.XLOOKUP($C38,Table1[Countermeasure],Table1[Signalized Intersection KSI (equity)])="x",_xlfn.XLOOKUP($C38,Table1[Countermeasure],Table1[Bike Crashes, No facility, midblock (equity)])="x",_xlfn.XLOOKUP($C38,Table1[Countermeasure],Table1[Local Intersection, Injury (equity)])="x",_xlfn.XLOOKUP($C38,Table1[Countermeasure],Table1[Posted Speed 40+ mph (equity)])="x"),"✓","")</f>
        <v>✓</v>
      </c>
      <c r="N38" s="2" t="str">
        <f>IF(NOT(ISERROR(SEARCH("CMF",_xlfn.XLOOKUP($C38,'CMF source, cost, effectiveness'!$A$2:$A$62,'CMF source, cost, effectiveness'!$G$2:$G$62)))),_xlfn.XLOOKUP($C38,'CMF source, cost, effectiveness'!$A$2:$A$62,'CMF source, cost, effectiveness'!$G$2:$G$62),"")</f>
        <v>CMF 4884</v>
      </c>
      <c r="O38" s="2" t="str">
        <f>IF(_xlfn.XLOOKUP($C38,Table1[Countermeasure],Table1[Proven Safety Countermeasure])="x","Proven Safety Countermeasures",IF(_xlfn.XLOOKUP($C38,Table1[Countermeasure],Table1[Proven Safety Countermeasure])="Toolbox of Pedestrian Countermeasures","Toolbox of Pedestrian Countermeasures",""))</f>
        <v>Proven Safety Countermeasures</v>
      </c>
      <c r="P38" s="62" t="s">
        <v>48</v>
      </c>
      <c r="Q38" s="62" t="s">
        <v>48</v>
      </c>
      <c r="R38" s="62" t="s">
        <v>48</v>
      </c>
      <c r="S38" s="62" t="s">
        <v>48</v>
      </c>
      <c r="T38" s="31" t="str" cm="1">
        <f t="array" ref="T38">IF(_xlfn.XLOOKUP($C38,Table1[[Countermeasure]:[Countermeasure]],_xlfn.XLOOKUP('Overall Table'!T$1,Table1[[#Headers],[Bike Crashes, intersection turning conflicts]:[Speeding related vehicle crashes]],Table1[[Bike Crashes, intersection turning conflicts]:[Speeding related vehicle crashes]],""),"")="x","✓",IF(_xlfn.XLOOKUP($C38,Table1[Remove Severe Conflicts],_xlfn.XLOOKUP('Overall Table'!T$1,Table1[[#Headers],[Bike Crashes, intersection turning conflicts]:[Speeding related vehicle crashes]],Table1[[Bike Crashes, intersection turning conflicts]:[Speeding related vehicle crashes]],""),"")="o","O",""))</f>
        <v>✓</v>
      </c>
      <c r="U38" s="62" t="s">
        <v>48</v>
      </c>
      <c r="V38" s="31" t="str" cm="1">
        <f t="array" ref="V38">IF(_xlfn.XLOOKUP($C38,Table1[[Countermeasure]:[Countermeasure]],_xlfn.XLOOKUP('Overall Table'!V$1,Table1[[#Headers],[Bike Crashes, intersection turning conflicts]:[Speeding related vehicle crashes]],Table1[[Bike Crashes, intersection turning conflicts]:[Speeding related vehicle crashes]],""),"")="x","✓",IF(_xlfn.XLOOKUP($C38,Table1[Manage Conflicts in Time],_xlfn.XLOOKUP('Overall Table'!V$1,Table1[[#Headers],[Bike Crashes, intersection turning conflicts]:[Speeding related vehicle crashes]],Table1[[Bike Crashes, intersection turning conflicts]:[Speeding related vehicle crashes]],""),"")="o","O",""))</f>
        <v>✓</v>
      </c>
      <c r="W38" s="62" t="s">
        <v>48</v>
      </c>
      <c r="X38" s="62" t="s">
        <v>48</v>
      </c>
      <c r="Y38" s="62" t="s">
        <v>48</v>
      </c>
      <c r="Z38" s="62" t="s">
        <v>48</v>
      </c>
      <c r="AA38" s="62" t="s">
        <v>48</v>
      </c>
      <c r="AB38" s="31" t="str" cm="1">
        <f t="array" ref="AB38">IF(_xlfn.XLOOKUP($C38,Table1[[Countermeasure]:[Countermeasure]],_xlfn.XLOOKUP('Overall Table'!AB$1,Table1[[#Headers],[Bike Crashes, intersection turning conflicts]:[Speeding related vehicle crashes]],Table1[[Bike Crashes, intersection turning conflicts]:[Speeding related vehicle crashes]],""),"")="x","✓",IF(_xlfn.XLOOKUP($C38,Table1[NCHRP 926],_xlfn.XLOOKUP('Overall Table'!AB$1,Table1[[#Headers],[Bike Crashes, intersection turning conflicts]:[Speeding related vehicle crashes]],Table1[[Bike Crashes, intersection turning conflicts]:[Speeding related vehicle crashes]],""),"")="o","O",""))</f>
        <v>✓</v>
      </c>
      <c r="AC38" s="62" t="s">
        <v>48</v>
      </c>
      <c r="AD38" s="62" t="s">
        <v>48</v>
      </c>
    </row>
    <row r="39" spans="1:30" ht="25.5" thickBot="1" x14ac:dyDescent="0.4">
      <c r="A39" s="32" t="str">
        <f>_xlfn.XLOOKUP(C39,Table1[Countermeasure],Table1[Category (FHWA)],"")</f>
        <v>Intersections</v>
      </c>
      <c r="B39" s="36" t="str">
        <f>_xlfn.XLOOKUP(A39,'Data Validation'!$A$2:$A$6,'Data Validation'!$C$2:$C$6,"")&amp;"."&amp;COUNTIF('Overall Table'!$A$2:A39,'Overall Table'!A39)</f>
        <v>IN.4</v>
      </c>
      <c r="C39" s="33" t="str">
        <f>'CM attributes, relevance'!A39</f>
        <v>Alternative intersections - Continuous Green T</v>
      </c>
      <c r="D39" s="34"/>
      <c r="E39" s="35" t="str">
        <f>_xlfn.XLOOKUP(C39,'CMF source, cost, effectiveness'!$A$2:$A$101,'CMF source, cost, effectiveness'!$K$2:$K$101,"")</f>
        <v>High</v>
      </c>
      <c r="F39" s="35" t="str">
        <f>_xlfn.XLOOKUP(C39,'CMF source, cost, effectiveness'!$A$2:$A$66,'CMF source, cost, effectiveness'!$M$2:$M$66,"")</f>
        <v>More than 2 years</v>
      </c>
      <c r="G39" s="35" t="str">
        <f>_xlfn.XLOOKUP(C39,'CMF source, cost, effectiveness'!$A$2:$A$101,'CMF source, cost, effectiveness'!$L$2:$L$101,"")</f>
        <v>Proven</v>
      </c>
      <c r="H39" s="50" t="str">
        <f>_xlfn.XLOOKUP(C39,Table1[Countermeasure],Table1[Safe System Category],"")</f>
        <v>Safer Roads</v>
      </c>
      <c r="I39" s="1" t="str">
        <f>IF(_xlfn.XLOOKUP($C39,Table1[Countermeasure],Table1[Remove Severe Conflicts])="x","✓","")</f>
        <v>✓</v>
      </c>
      <c r="J39" s="62" t="s">
        <v>48</v>
      </c>
      <c r="K39" s="62" t="s">
        <v>48</v>
      </c>
      <c r="L39" s="62" t="s">
        <v>48</v>
      </c>
      <c r="M39" s="23" t="str">
        <f>IF(OR(_xlfn.XLOOKUP($C39,Table1[Countermeasure],Table1[Signalized Intersection KSI (equity)])="x",_xlfn.XLOOKUP($C39,Table1[Countermeasure],Table1[Bike Crashes, No facility, midblock (equity)])="x",_xlfn.XLOOKUP($C39,Table1[Countermeasure],Table1[Local Intersection, Injury (equity)])="x",_xlfn.XLOOKUP($C39,Table1[Countermeasure],Table1[Posted Speed 40+ mph (equity)])="x"),"✓","")</f>
        <v>✓</v>
      </c>
      <c r="N39" s="2" t="str">
        <f>IF(NOT(ISERROR(SEARCH("CMF",_xlfn.XLOOKUP($C39,'CMF source, cost, effectiveness'!$A$2:$A$62,'CMF source, cost, effectiveness'!$G$2:$G$62)))),_xlfn.XLOOKUP($C39,'CMF source, cost, effectiveness'!$A$2:$A$62,'CMF source, cost, effectiveness'!$G$2:$G$62),"")</f>
        <v>CMF 8656</v>
      </c>
      <c r="O39" s="2" t="str">
        <f>IF(_xlfn.XLOOKUP($C39,Table1[Countermeasure],Table1[Proven Safety Countermeasure])="x","Proven Safety Countermeasures",IF(_xlfn.XLOOKUP($C39,Table1[Countermeasure],Table1[Proven Safety Countermeasure])="Toolbox of Pedestrian Countermeasures","Toolbox of Pedestrian Countermeasures",""))</f>
        <v>Proven Safety Countermeasures</v>
      </c>
      <c r="P39" s="62" t="s">
        <v>48</v>
      </c>
      <c r="Q39" s="62" t="s">
        <v>48</v>
      </c>
      <c r="R39" s="62" t="s">
        <v>48</v>
      </c>
      <c r="S39" s="62" t="s">
        <v>48</v>
      </c>
      <c r="T39" s="62" t="s">
        <v>48</v>
      </c>
      <c r="U39" s="62" t="s">
        <v>48</v>
      </c>
      <c r="V39" s="31" t="str" cm="1">
        <f t="array" ref="V39">IF(_xlfn.XLOOKUP($C39,Table1[[Countermeasure]:[Countermeasure]],_xlfn.XLOOKUP('Overall Table'!V$1,Table1[[#Headers],[Bike Crashes, intersection turning conflicts]:[Speeding related vehicle crashes]],Table1[[Bike Crashes, intersection turning conflicts]:[Speeding related vehicle crashes]],""),"")="x","✓",IF(_xlfn.XLOOKUP($C39,Table1[Manage Conflicts in Time],_xlfn.XLOOKUP('Overall Table'!V$1,Table1[[#Headers],[Bike Crashes, intersection turning conflicts]:[Speeding related vehicle crashes]],Table1[[Bike Crashes, intersection turning conflicts]:[Speeding related vehicle crashes]],""),"")="o","O",""))</f>
        <v>✓</v>
      </c>
      <c r="W39" s="62" t="s">
        <v>48</v>
      </c>
      <c r="X39" s="62" t="s">
        <v>48</v>
      </c>
      <c r="Y39" s="62" t="s">
        <v>48</v>
      </c>
      <c r="Z39" s="62" t="s">
        <v>48</v>
      </c>
      <c r="AA39" s="62" t="s">
        <v>48</v>
      </c>
      <c r="AB39" s="31" t="str" cm="1">
        <f t="array" ref="AB39">IF(_xlfn.XLOOKUP($C39,Table1[[Countermeasure]:[Countermeasure]],_xlfn.XLOOKUP('Overall Table'!AB$1,Table1[[#Headers],[Bike Crashes, intersection turning conflicts]:[Speeding related vehicle crashes]],Table1[[Bike Crashes, intersection turning conflicts]:[Speeding related vehicle crashes]],""),"")="x","✓",IF(_xlfn.XLOOKUP($C39,Table1[NCHRP 926],_xlfn.XLOOKUP('Overall Table'!AB$1,Table1[[#Headers],[Bike Crashes, intersection turning conflicts]:[Speeding related vehicle crashes]],Table1[[Bike Crashes, intersection turning conflicts]:[Speeding related vehicle crashes]],""),"")="o","O",""))</f>
        <v>✓</v>
      </c>
      <c r="AC39" s="62" t="s">
        <v>48</v>
      </c>
      <c r="AD39" s="62" t="s">
        <v>48</v>
      </c>
    </row>
    <row r="40" spans="1:30" ht="25.5" thickBot="1" x14ac:dyDescent="0.4">
      <c r="A40" s="32" t="str">
        <f>_xlfn.XLOOKUP(C40,Table1[Countermeasure],Table1[Category (FHWA)],"")</f>
        <v>Intersections</v>
      </c>
      <c r="B40" s="36" t="str">
        <f>_xlfn.XLOOKUP(A40,'Data Validation'!$A$2:$A$6,'Data Validation'!$C$2:$C$6,"")&amp;"."&amp;COUNTIF('Overall Table'!$A$2:A40,'Overall Table'!A40)</f>
        <v>IN.5</v>
      </c>
      <c r="C40" s="33" t="str">
        <f>'CM attributes, relevance'!A40</f>
        <v>Alternative intersections - Signalized RCUT</v>
      </c>
      <c r="D40" s="34"/>
      <c r="E40" s="35" t="str">
        <f>_xlfn.XLOOKUP(C40,'CMF source, cost, effectiveness'!$A$2:$A$101,'CMF source, cost, effectiveness'!$K$2:$K$101,"")</f>
        <v>High</v>
      </c>
      <c r="F40" s="35" t="str">
        <f>_xlfn.XLOOKUP(C40,'CMF source, cost, effectiveness'!$A$2:$A$66,'CMF source, cost, effectiveness'!$M$2:$M$66,"")</f>
        <v>More than 2 years</v>
      </c>
      <c r="G40" s="35" t="str">
        <f>_xlfn.XLOOKUP(C40,'CMF source, cost, effectiveness'!$A$2:$A$101,'CMF source, cost, effectiveness'!$L$2:$L$101,"")</f>
        <v>Proven</v>
      </c>
      <c r="H40" s="50" t="str">
        <f>_xlfn.XLOOKUP(C40,Table1[Countermeasure],Table1[Safe System Category],"")</f>
        <v>Safer Roads</v>
      </c>
      <c r="I40" s="1" t="str">
        <f>IF(_xlfn.XLOOKUP($C40,Table1[Countermeasure],Table1[Remove Severe Conflicts])="x","✓","")</f>
        <v>✓</v>
      </c>
      <c r="J40" s="62" t="s">
        <v>48</v>
      </c>
      <c r="K40" s="62" t="s">
        <v>48</v>
      </c>
      <c r="L40" s="62" t="s">
        <v>48</v>
      </c>
      <c r="M40" s="23" t="str">
        <f>IF(OR(_xlfn.XLOOKUP($C40,Table1[Countermeasure],Table1[Signalized Intersection KSI (equity)])="x",_xlfn.XLOOKUP($C40,Table1[Countermeasure],Table1[Bike Crashes, No facility, midblock (equity)])="x",_xlfn.XLOOKUP($C40,Table1[Countermeasure],Table1[Local Intersection, Injury (equity)])="x",_xlfn.XLOOKUP($C40,Table1[Countermeasure],Table1[Posted Speed 40+ mph (equity)])="x"),"✓","")</f>
        <v>✓</v>
      </c>
      <c r="N40" s="2" t="str">
        <f>IF(NOT(ISERROR(SEARCH("CMF",_xlfn.XLOOKUP($C40,'CMF source, cost, effectiveness'!$A$2:$A$62,'CMF source, cost, effectiveness'!$G$2:$G$62)))),_xlfn.XLOOKUP($C40,'CMF source, cost, effectiveness'!$A$2:$A$62,'CMF source, cost, effectiveness'!$G$2:$G$62),"")</f>
        <v>CMF 9984</v>
      </c>
      <c r="O40" s="2" t="str">
        <f>IF(_xlfn.XLOOKUP($C40,Table1[Countermeasure],Table1[Proven Safety Countermeasure])="x","Proven Safety Countermeasures",IF(_xlfn.XLOOKUP($C40,Table1[Countermeasure],Table1[Proven Safety Countermeasure])="Toolbox of Pedestrian Countermeasures","Toolbox of Pedestrian Countermeasures",""))</f>
        <v>Proven Safety Countermeasures</v>
      </c>
      <c r="P40" s="62" t="s">
        <v>48</v>
      </c>
      <c r="Q40" s="62" t="s">
        <v>48</v>
      </c>
      <c r="R40" s="62" t="s">
        <v>48</v>
      </c>
      <c r="S40" s="62" t="s">
        <v>48</v>
      </c>
      <c r="T40" s="62" t="s">
        <v>48</v>
      </c>
      <c r="U40" s="62" t="s">
        <v>48</v>
      </c>
      <c r="V40" s="31" t="str" cm="1">
        <f t="array" ref="V40">IF(_xlfn.XLOOKUP($C40,Table1[[Countermeasure]:[Countermeasure]],_xlfn.XLOOKUP('Overall Table'!V$1,Table1[[#Headers],[Bike Crashes, intersection turning conflicts]:[Speeding related vehicle crashes]],Table1[[Bike Crashes, intersection turning conflicts]:[Speeding related vehicle crashes]],""),"")="x","✓",IF(_xlfn.XLOOKUP($C40,Table1[Manage Conflicts in Time],_xlfn.XLOOKUP('Overall Table'!V$1,Table1[[#Headers],[Bike Crashes, intersection turning conflicts]:[Speeding related vehicle crashes]],Table1[[Bike Crashes, intersection turning conflicts]:[Speeding related vehicle crashes]],""),"")="o","O",""))</f>
        <v>✓</v>
      </c>
      <c r="W40" s="62" t="s">
        <v>48</v>
      </c>
      <c r="X40" s="62" t="s">
        <v>48</v>
      </c>
      <c r="Y40" s="62" t="s">
        <v>48</v>
      </c>
      <c r="Z40" s="62" t="s">
        <v>48</v>
      </c>
      <c r="AA40" s="62" t="s">
        <v>48</v>
      </c>
      <c r="AB40" s="31" t="str" cm="1">
        <f t="array" ref="AB40">IF(_xlfn.XLOOKUP($C40,Table1[[Countermeasure]:[Countermeasure]],_xlfn.XLOOKUP('Overall Table'!AB$1,Table1[[#Headers],[Bike Crashes, intersection turning conflicts]:[Speeding related vehicle crashes]],Table1[[Bike Crashes, intersection turning conflicts]:[Speeding related vehicle crashes]],""),"")="x","✓",IF(_xlfn.XLOOKUP($C40,Table1[NCHRP 926],_xlfn.XLOOKUP('Overall Table'!AB$1,Table1[[#Headers],[Bike Crashes, intersection turning conflicts]:[Speeding related vehicle crashes]],Table1[[Bike Crashes, intersection turning conflicts]:[Speeding related vehicle crashes]],""),"")="o","O",""))</f>
        <v>✓</v>
      </c>
      <c r="AC40" s="62" t="s">
        <v>48</v>
      </c>
      <c r="AD40" s="62" t="s">
        <v>48</v>
      </c>
    </row>
    <row r="41" spans="1:30" ht="25.5" thickBot="1" x14ac:dyDescent="0.4">
      <c r="A41" s="32" t="str">
        <f>_xlfn.XLOOKUP(C41,Table1[Countermeasure],Table1[Category (FHWA)],"")</f>
        <v>Intersections</v>
      </c>
      <c r="B41" s="36" t="str">
        <f>_xlfn.XLOOKUP(A41,'Data Validation'!$A$2:$A$6,'Data Validation'!$C$2:$C$6,"")&amp;"."&amp;COUNTIF('Overall Table'!$A$2:A41,'Overall Table'!A41)</f>
        <v>IN.6</v>
      </c>
      <c r="C41" s="33" t="str">
        <f>'CM attributes, relevance'!A41</f>
        <v>Alternative intersections -  MUT</v>
      </c>
      <c r="D41" s="34"/>
      <c r="E41" s="35" t="str">
        <f>_xlfn.XLOOKUP(C41,'CMF source, cost, effectiveness'!$A$2:$A$101,'CMF source, cost, effectiveness'!$K$2:$K$101,"")</f>
        <v>High</v>
      </c>
      <c r="F41" s="35" t="str">
        <f>_xlfn.XLOOKUP(C41,'CMF source, cost, effectiveness'!$A$2:$A$66,'CMF source, cost, effectiveness'!$M$2:$M$66,"")</f>
        <v>More than 2 years</v>
      </c>
      <c r="G41" s="35" t="str">
        <f>_xlfn.XLOOKUP(C41,'CMF source, cost, effectiveness'!$A$2:$A$101,'CMF source, cost, effectiveness'!$L$2:$L$101,"")</f>
        <v>Proven</v>
      </c>
      <c r="H41" s="50" t="str">
        <f>_xlfn.XLOOKUP(C41,Table1[Countermeasure],Table1[Safe System Category],"")</f>
        <v>Safer Roads</v>
      </c>
      <c r="I41" s="1" t="str">
        <f>IF(_xlfn.XLOOKUP($C41,Table1[Countermeasure],Table1[Remove Severe Conflicts])="x","✓","")</f>
        <v>✓</v>
      </c>
      <c r="J41" s="62" t="s">
        <v>48</v>
      </c>
      <c r="K41" s="62" t="s">
        <v>48</v>
      </c>
      <c r="L41" s="62" t="s">
        <v>48</v>
      </c>
      <c r="M41" s="23" t="str">
        <f>IF(OR(_xlfn.XLOOKUP($C41,Table1[Countermeasure],Table1[Signalized Intersection KSI (equity)])="x",_xlfn.XLOOKUP($C41,Table1[Countermeasure],Table1[Bike Crashes, No facility, midblock (equity)])="x",_xlfn.XLOOKUP($C41,Table1[Countermeasure],Table1[Local Intersection, Injury (equity)])="x",_xlfn.XLOOKUP($C41,Table1[Countermeasure],Table1[Posted Speed 40+ mph (equity)])="x"),"✓","")</f>
        <v>✓</v>
      </c>
      <c r="N41" s="2" t="str">
        <f>IF(NOT(ISERROR(SEARCH("CMF",_xlfn.XLOOKUP($C41,'CMF source, cost, effectiveness'!$A$2:$A$62,'CMF source, cost, effectiveness'!$G$2:$G$62)))),_xlfn.XLOOKUP($C41,'CMF source, cost, effectiveness'!$A$2:$A$62,'CMF source, cost, effectiveness'!$G$2:$G$62),"")</f>
        <v>CMF 10865</v>
      </c>
      <c r="O41" s="2" t="str">
        <f>IF(_xlfn.XLOOKUP($C41,Table1[Countermeasure],Table1[Proven Safety Countermeasure])="x","Proven Safety Countermeasures",IF(_xlfn.XLOOKUP($C41,Table1[Countermeasure],Table1[Proven Safety Countermeasure])="Toolbox of Pedestrian Countermeasures","Toolbox of Pedestrian Countermeasures",""))</f>
        <v>Proven Safety Countermeasures</v>
      </c>
      <c r="P41" s="62" t="s">
        <v>48</v>
      </c>
      <c r="Q41" s="62" t="s">
        <v>48</v>
      </c>
      <c r="R41" s="62" t="s">
        <v>48</v>
      </c>
      <c r="S41" s="62" t="s">
        <v>48</v>
      </c>
      <c r="T41" s="62" t="s">
        <v>48</v>
      </c>
      <c r="U41" s="62" t="s">
        <v>48</v>
      </c>
      <c r="V41" s="31" t="str" cm="1">
        <f t="array" ref="V41">IF(_xlfn.XLOOKUP($C41,Table1[[Countermeasure]:[Countermeasure]],_xlfn.XLOOKUP('Overall Table'!V$1,Table1[[#Headers],[Bike Crashes, intersection turning conflicts]:[Speeding related vehicle crashes]],Table1[[Bike Crashes, intersection turning conflicts]:[Speeding related vehicle crashes]],""),"")="x","✓",IF(_xlfn.XLOOKUP($C41,Table1[Manage Conflicts in Time],_xlfn.XLOOKUP('Overall Table'!V$1,Table1[[#Headers],[Bike Crashes, intersection turning conflicts]:[Speeding related vehicle crashes]],Table1[[Bike Crashes, intersection turning conflicts]:[Speeding related vehicle crashes]],""),"")="o","O",""))</f>
        <v>✓</v>
      </c>
      <c r="W41" s="62" t="s">
        <v>48</v>
      </c>
      <c r="X41" s="62" t="s">
        <v>48</v>
      </c>
      <c r="Y41" s="62" t="s">
        <v>48</v>
      </c>
      <c r="Z41" s="62" t="s">
        <v>48</v>
      </c>
      <c r="AA41" s="62" t="s">
        <v>48</v>
      </c>
      <c r="AB41" s="31" t="str" cm="1">
        <f t="array" ref="AB41">IF(_xlfn.XLOOKUP($C41,Table1[[Countermeasure]:[Countermeasure]],_xlfn.XLOOKUP('Overall Table'!AB$1,Table1[[#Headers],[Bike Crashes, intersection turning conflicts]:[Speeding related vehicle crashes]],Table1[[Bike Crashes, intersection turning conflicts]:[Speeding related vehicle crashes]],""),"")="x","✓",IF(_xlfn.XLOOKUP($C41,Table1[NCHRP 926],_xlfn.XLOOKUP('Overall Table'!AB$1,Table1[[#Headers],[Bike Crashes, intersection turning conflicts]:[Speeding related vehicle crashes]],Table1[[Bike Crashes, intersection turning conflicts]:[Speeding related vehicle crashes]],""),"")="o","O",""))</f>
        <v>✓</v>
      </c>
      <c r="AC41" s="62" t="s">
        <v>48</v>
      </c>
      <c r="AD41" s="62" t="s">
        <v>48</v>
      </c>
    </row>
    <row r="42" spans="1:30" ht="15" thickBot="1" x14ac:dyDescent="0.4">
      <c r="A42" s="32" t="str">
        <f>_xlfn.XLOOKUP(C42,Table1[Countermeasure],Table1[Category (FHWA)],"")</f>
        <v>Intersections</v>
      </c>
      <c r="B42" s="36" t="str">
        <f>_xlfn.XLOOKUP(A42,'Data Validation'!$A$2:$A$6,'Data Validation'!$C$2:$C$6,"")&amp;"."&amp;COUNTIF('Overall Table'!$A$2:A42,'Overall Table'!A42)</f>
        <v>IN.7</v>
      </c>
      <c r="C42" s="33" t="str">
        <f>'CM attributes, relevance'!A42</f>
        <v>Introducing zero or positive offset left-turn lane on crossing roadway</v>
      </c>
      <c r="D42" s="34"/>
      <c r="E42" s="35" t="str">
        <f>_xlfn.XLOOKUP(C42,'CMF source, cost, effectiveness'!$A$2:$A$101,'CMF source, cost, effectiveness'!$K$2:$K$101,"")</f>
        <v>High</v>
      </c>
      <c r="F42" s="35" t="str">
        <f>_xlfn.XLOOKUP(C42,'CMF source, cost, effectiveness'!$A$2:$A$66,'CMF source, cost, effectiveness'!$M$2:$M$66,"")</f>
        <v>1 - 2 years</v>
      </c>
      <c r="G42" s="35" t="str">
        <f>_xlfn.XLOOKUP(C42,'CMF source, cost, effectiveness'!$A$2:$A$101,'CMF source, cost, effectiveness'!$L$2:$L$101,"")</f>
        <v>Documented</v>
      </c>
      <c r="H42" s="50" t="str">
        <f>_xlfn.XLOOKUP(C42,Table1[Countermeasure],Table1[Safe System Category],"")</f>
        <v>Safer Roads</v>
      </c>
      <c r="I42" s="1" t="str">
        <f>IF(_xlfn.XLOOKUP($C42,Table1[Countermeasure],Table1[Remove Severe Conflicts])="x","✓","")</f>
        <v>✓</v>
      </c>
      <c r="J42" s="62" t="s">
        <v>48</v>
      </c>
      <c r="K42" s="62" t="s">
        <v>48</v>
      </c>
      <c r="L42" s="62" t="s">
        <v>48</v>
      </c>
      <c r="M42" s="23" t="str">
        <f>IF(OR(_xlfn.XLOOKUP($C42,Table1[Countermeasure],Table1[Signalized Intersection KSI (equity)])="x",_xlfn.XLOOKUP($C42,Table1[Countermeasure],Table1[Bike Crashes, No facility, midblock (equity)])="x",_xlfn.XLOOKUP($C42,Table1[Countermeasure],Table1[Local Intersection, Injury (equity)])="x",_xlfn.XLOOKUP($C42,Table1[Countermeasure],Table1[Posted Speed 40+ mph (equity)])="x"),"✓","")</f>
        <v>✓</v>
      </c>
      <c r="N42" s="2" t="str">
        <f>IF(NOT(ISERROR(SEARCH("CMF",_xlfn.XLOOKUP($C42,'CMF source, cost, effectiveness'!$A$2:$A$62,'CMF source, cost, effectiveness'!$G$2:$G$62)))),_xlfn.XLOOKUP($C42,'CMF source, cost, effectiveness'!$A$2:$A$62,'CMF source, cost, effectiveness'!$G$2:$G$62),"")</f>
        <v>CMF 277</v>
      </c>
      <c r="O42" s="62" t="s">
        <v>48</v>
      </c>
      <c r="P42" s="62" t="s">
        <v>48</v>
      </c>
      <c r="Q42" s="62" t="s">
        <v>48</v>
      </c>
      <c r="R42" s="62" t="s">
        <v>48</v>
      </c>
      <c r="S42" s="30" t="str" cm="1">
        <f t="array" ref="S42">IF(_xlfn.XLOOKUP($C42,Table1[[Countermeasure]:[Countermeasure]],_xlfn.XLOOKUP('Overall Table'!S$1,Table1[[#Headers],[Bike Crashes, intersection turning conflicts]:[Speeding related vehicle crashes]],Table1[[Bike Crashes, intersection turning conflicts]:[Speeding related vehicle crashes]],""),"")="x","✓",IF(_xlfn.XLOOKUP($C42,Table1[Countermeasure],_xlfn.XLOOKUP('Overall Table'!S$1,Table1[[#Headers],[Bike Crashes, intersection turning conflicts]:[Speeding related vehicle crashes]],Table1[[Bike Crashes, intersection turning conflicts]:[Speeding related vehicle crashes]],""),"")="o","O",""))</f>
        <v>✓</v>
      </c>
      <c r="T42" s="31" t="str" cm="1">
        <f t="array" ref="T42">IF(_xlfn.XLOOKUP($C42,Table1[[Countermeasure]:[Countermeasure]],_xlfn.XLOOKUP('Overall Table'!T$1,Table1[[#Headers],[Bike Crashes, intersection turning conflicts]:[Speeding related vehicle crashes]],Table1[[Bike Crashes, intersection turning conflicts]:[Speeding related vehicle crashes]],""),"")="x","✓",IF(_xlfn.XLOOKUP($C42,Table1[Remove Severe Conflicts],_xlfn.XLOOKUP('Overall Table'!T$1,Table1[[#Headers],[Bike Crashes, intersection turning conflicts]:[Speeding related vehicle crashes]],Table1[[Bike Crashes, intersection turning conflicts]:[Speeding related vehicle crashes]],""),"")="o","O",""))</f>
        <v>✓</v>
      </c>
      <c r="U42" s="62" t="s">
        <v>48</v>
      </c>
      <c r="V42" s="62" t="s">
        <v>48</v>
      </c>
      <c r="W42" s="62" t="s">
        <v>48</v>
      </c>
      <c r="X42" s="62" t="s">
        <v>48</v>
      </c>
      <c r="Y42" s="62" t="s">
        <v>48</v>
      </c>
      <c r="Z42" s="62" t="s">
        <v>48</v>
      </c>
      <c r="AA42" s="62" t="s">
        <v>48</v>
      </c>
      <c r="AB42" s="62" t="s">
        <v>48</v>
      </c>
      <c r="AC42" s="62" t="s">
        <v>48</v>
      </c>
      <c r="AD42" s="62" t="s">
        <v>48</v>
      </c>
    </row>
    <row r="43" spans="1:30" ht="15" thickBot="1" x14ac:dyDescent="0.4">
      <c r="A43" s="32" t="str">
        <f>_xlfn.XLOOKUP(C43,Table1[Countermeasure],Table1[Category (FHWA)],"")</f>
        <v>Intersections</v>
      </c>
      <c r="B43" s="36" t="str">
        <f>_xlfn.XLOOKUP(A43,'Data Validation'!$A$2:$A$6,'Data Validation'!$C$2:$C$6,"")&amp;"."&amp;COUNTIF('Overall Table'!$A$2:A43,'Overall Table'!A43)</f>
        <v>IN.8</v>
      </c>
      <c r="C43" s="33" t="str">
        <f>'CM attributes, relevance'!A43</f>
        <v>Improve Angle of Channelized Right Turn Lane</v>
      </c>
      <c r="D43" s="34"/>
      <c r="E43" s="35" t="str">
        <f>_xlfn.XLOOKUP(C43,'CMF source, cost, effectiveness'!$A$2:$A$101,'CMF source, cost, effectiveness'!$K$2:$K$101,"")</f>
        <v>Moderate</v>
      </c>
      <c r="F43" s="35" t="str">
        <f>_xlfn.XLOOKUP(C43,'CMF source, cost, effectiveness'!$A$2:$A$66,'CMF source, cost, effectiveness'!$M$2:$M$66,"")</f>
        <v>1 - 2 years</v>
      </c>
      <c r="G43" s="35" t="str">
        <f>_xlfn.XLOOKUP(C43,'CMF source, cost, effectiveness'!$A$2:$A$101,'CMF source, cost, effectiveness'!$L$2:$L$101,"")</f>
        <v>Documented</v>
      </c>
      <c r="H43" s="50" t="str">
        <f>_xlfn.XLOOKUP(C43,Table1[Countermeasure],Table1[Safe System Category],"")</f>
        <v>Safer Roads</v>
      </c>
      <c r="I43" s="1" t="str">
        <f>IF(_xlfn.XLOOKUP($C43,Table1[Countermeasure],Table1[Remove Severe Conflicts])="x","✓","")</f>
        <v>✓</v>
      </c>
      <c r="J43" s="62" t="s">
        <v>48</v>
      </c>
      <c r="K43" s="62" t="s">
        <v>48</v>
      </c>
      <c r="L43" s="62" t="s">
        <v>48</v>
      </c>
      <c r="M43" s="23" t="str">
        <f>IF(OR(_xlfn.XLOOKUP($C43,Table1[Countermeasure],Table1[Signalized Intersection KSI (equity)])="x",_xlfn.XLOOKUP($C43,Table1[Countermeasure],Table1[Bike Crashes, No facility, midblock (equity)])="x",_xlfn.XLOOKUP($C43,Table1[Countermeasure],Table1[Local Intersection, Injury (equity)])="x",_xlfn.XLOOKUP($C43,Table1[Countermeasure],Table1[Posted Speed 40+ mph (equity)])="x"),"✓","")</f>
        <v>✓</v>
      </c>
      <c r="N43" s="2" t="str">
        <f>IF(NOT(ISERROR(SEARCH("CMF",_xlfn.XLOOKUP($C43,'CMF source, cost, effectiveness'!$A$2:$A$62,'CMF source, cost, effectiveness'!$G$2:$G$62)))),_xlfn.XLOOKUP($C43,'CMF source, cost, effectiveness'!$A$2:$A$62,'CMF source, cost, effectiveness'!$G$2:$G$62),"")</f>
        <v>CMF 8431</v>
      </c>
      <c r="O43" s="62" t="s">
        <v>48</v>
      </c>
      <c r="P43" s="62" t="s">
        <v>48</v>
      </c>
      <c r="Q43" s="62" t="s">
        <v>48</v>
      </c>
      <c r="R43" s="62" t="s">
        <v>48</v>
      </c>
      <c r="S43" s="30" t="str" cm="1">
        <f t="array" ref="S43">IF(_xlfn.XLOOKUP($C43,Table1[[Countermeasure]:[Countermeasure]],_xlfn.XLOOKUP('Overall Table'!S$1,Table1[[#Headers],[Bike Crashes, intersection turning conflicts]:[Speeding related vehicle crashes]],Table1[[Bike Crashes, intersection turning conflicts]:[Speeding related vehicle crashes]],""),"")="x","✓",IF(_xlfn.XLOOKUP($C43,Table1[Countermeasure],_xlfn.XLOOKUP('Overall Table'!S$1,Table1[[#Headers],[Bike Crashes, intersection turning conflicts]:[Speeding related vehicle crashes]],Table1[[Bike Crashes, intersection turning conflicts]:[Speeding related vehicle crashes]],""),"")="o","O",""))</f>
        <v>✓</v>
      </c>
      <c r="T43" s="31" t="str" cm="1">
        <f t="array" ref="T43">IF(_xlfn.XLOOKUP($C43,Table1[[Countermeasure]:[Countermeasure]],_xlfn.XLOOKUP('Overall Table'!T$1,Table1[[#Headers],[Bike Crashes, intersection turning conflicts]:[Speeding related vehicle crashes]],Table1[[Bike Crashes, intersection turning conflicts]:[Speeding related vehicle crashes]],""),"")="x","✓",IF(_xlfn.XLOOKUP($C43,Table1[Remove Severe Conflicts],_xlfn.XLOOKUP('Overall Table'!T$1,Table1[[#Headers],[Bike Crashes, intersection turning conflicts]:[Speeding related vehicle crashes]],Table1[[Bike Crashes, intersection turning conflicts]:[Speeding related vehicle crashes]],""),"")="o","O",""))</f>
        <v>✓</v>
      </c>
      <c r="U43" s="62" t="s">
        <v>48</v>
      </c>
      <c r="V43" s="62" t="s">
        <v>48</v>
      </c>
      <c r="W43" s="62" t="s">
        <v>48</v>
      </c>
      <c r="X43" s="62" t="s">
        <v>48</v>
      </c>
      <c r="Y43" s="62" t="s">
        <v>48</v>
      </c>
      <c r="Z43" s="62" t="s">
        <v>48</v>
      </c>
      <c r="AA43" s="62" t="s">
        <v>48</v>
      </c>
      <c r="AB43" s="62" t="s">
        <v>48</v>
      </c>
      <c r="AC43" s="62" t="s">
        <v>48</v>
      </c>
      <c r="AD43" s="62" t="s">
        <v>48</v>
      </c>
    </row>
    <row r="44" spans="1:30" ht="28.5" thickBot="1" x14ac:dyDescent="0.4">
      <c r="A44" s="32" t="str">
        <f>_xlfn.XLOOKUP(C44,Table1[Countermeasure],Table1[Category (FHWA)],"")</f>
        <v>Intersections</v>
      </c>
      <c r="B44" s="36" t="str">
        <f>_xlfn.XLOOKUP(A44,'Data Validation'!$A$2:$A$6,'Data Validation'!$C$2:$C$6,"")&amp;"."&amp;COUNTIF('Overall Table'!$A$2:A44,'Overall Table'!A44)</f>
        <v>IN.9</v>
      </c>
      <c r="C44" s="33" t="str">
        <f>'CM attributes, relevance'!A44</f>
        <v>Change right-turn lane geometry to increase line of sight (Intersection Level)</v>
      </c>
      <c r="D44" s="34"/>
      <c r="E44" s="35" t="str">
        <f>_xlfn.XLOOKUP(C44,'CMF source, cost, effectiveness'!$A$2:$A$101,'CMF source, cost, effectiveness'!$K$2:$K$101,"")</f>
        <v>Moderate</v>
      </c>
      <c r="F44" s="35" t="str">
        <f>_xlfn.XLOOKUP(C44,'CMF source, cost, effectiveness'!$A$2:$A$66,'CMF source, cost, effectiveness'!$M$2:$M$66,"")</f>
        <v>1 - 2 years</v>
      </c>
      <c r="G44" s="35" t="str">
        <f>_xlfn.XLOOKUP(C44,'CMF source, cost, effectiveness'!$A$2:$A$101,'CMF source, cost, effectiveness'!$L$2:$L$101,"")</f>
        <v>Documented</v>
      </c>
      <c r="H44" s="50" t="str">
        <f>_xlfn.XLOOKUP(C44,Table1[Countermeasure],Table1[Safe System Category],"")</f>
        <v>Safer Roads</v>
      </c>
      <c r="I44" s="1" t="str">
        <f>IF(_xlfn.XLOOKUP($C44,Table1[Countermeasure],Table1[Remove Severe Conflicts])="x","✓","")</f>
        <v>✓</v>
      </c>
      <c r="J44" s="62" t="s">
        <v>48</v>
      </c>
      <c r="K44" s="62" t="s">
        <v>48</v>
      </c>
      <c r="L44" s="62" t="s">
        <v>48</v>
      </c>
      <c r="M44" s="23" t="str">
        <f>IF(OR(_xlfn.XLOOKUP($C44,Table1[Countermeasure],Table1[Signalized Intersection KSI (equity)])="x",_xlfn.XLOOKUP($C44,Table1[Countermeasure],Table1[Bike Crashes, No facility, midblock (equity)])="x",_xlfn.XLOOKUP($C44,Table1[Countermeasure],Table1[Local Intersection, Injury (equity)])="x",_xlfn.XLOOKUP($C44,Table1[Countermeasure],Table1[Posted Speed 40+ mph (equity)])="x"),"✓","")</f>
        <v>✓</v>
      </c>
      <c r="N44" s="2" t="str">
        <f>IF(NOT(ISERROR(SEARCH("CMF",_xlfn.XLOOKUP($C44,'CMF source, cost, effectiveness'!$A$2:$A$62,'CMF source, cost, effectiveness'!$G$2:$G$62)))),_xlfn.XLOOKUP($C44,'CMF source, cost, effectiveness'!$A$2:$A$62,'CMF source, cost, effectiveness'!$G$2:$G$62),"")</f>
        <v>CMF 8497</v>
      </c>
      <c r="O44" s="62" t="s">
        <v>48</v>
      </c>
      <c r="P44" s="62" t="s">
        <v>48</v>
      </c>
      <c r="Q44" s="62" t="s">
        <v>48</v>
      </c>
      <c r="R44" s="62" t="s">
        <v>48</v>
      </c>
      <c r="S44" s="30" t="str" cm="1">
        <f t="array" ref="S44">IF(_xlfn.XLOOKUP($C44,Table1[[Countermeasure]:[Countermeasure]],_xlfn.XLOOKUP('Overall Table'!S$1,Table1[[#Headers],[Bike Crashes, intersection turning conflicts]:[Speeding related vehicle crashes]],Table1[[Bike Crashes, intersection turning conflicts]:[Speeding related vehicle crashes]],""),"")="x","✓",IF(_xlfn.XLOOKUP($C44,Table1[Countermeasure],_xlfn.XLOOKUP('Overall Table'!S$1,Table1[[#Headers],[Bike Crashes, intersection turning conflicts]:[Speeding related vehicle crashes]],Table1[[Bike Crashes, intersection turning conflicts]:[Speeding related vehicle crashes]],""),"")="o","O",""))</f>
        <v>✓</v>
      </c>
      <c r="T44" s="31" t="str" cm="1">
        <f t="array" ref="T44">IF(_xlfn.XLOOKUP($C44,Table1[[Countermeasure]:[Countermeasure]],_xlfn.XLOOKUP('Overall Table'!T$1,Table1[[#Headers],[Bike Crashes, intersection turning conflicts]:[Speeding related vehicle crashes]],Table1[[Bike Crashes, intersection turning conflicts]:[Speeding related vehicle crashes]],""),"")="x","✓",IF(_xlfn.XLOOKUP($C44,Table1[Remove Severe Conflicts],_xlfn.XLOOKUP('Overall Table'!T$1,Table1[[#Headers],[Bike Crashes, intersection turning conflicts]:[Speeding related vehicle crashes]],Table1[[Bike Crashes, intersection turning conflicts]:[Speeding related vehicle crashes]],""),"")="o","O",""))</f>
        <v>✓</v>
      </c>
      <c r="U44" s="62" t="s">
        <v>48</v>
      </c>
      <c r="V44" s="62" t="s">
        <v>48</v>
      </c>
      <c r="W44" s="62" t="s">
        <v>48</v>
      </c>
      <c r="X44" s="62" t="s">
        <v>48</v>
      </c>
      <c r="Y44" s="62" t="s">
        <v>48</v>
      </c>
      <c r="Z44" s="62" t="s">
        <v>48</v>
      </c>
      <c r="AA44" s="62" t="s">
        <v>48</v>
      </c>
      <c r="AB44" s="62" t="s">
        <v>48</v>
      </c>
      <c r="AC44" s="62" t="s">
        <v>48</v>
      </c>
      <c r="AD44" s="62" t="s">
        <v>48</v>
      </c>
    </row>
    <row r="45" spans="1:30" ht="28.5" thickBot="1" x14ac:dyDescent="0.4">
      <c r="A45" s="32" t="str">
        <f>_xlfn.XLOOKUP(C45,Table1[Countermeasure],Table1[Category (FHWA)],"")</f>
        <v>Intersections</v>
      </c>
      <c r="B45" s="36" t="str">
        <f>_xlfn.XLOOKUP(A45,'Data Validation'!$A$2:$A$6,'Data Validation'!$C$2:$C$6,"")&amp;"."&amp;COUNTIF('Overall Table'!$A$2:A45,'Overall Table'!A45)</f>
        <v>IN.10</v>
      </c>
      <c r="C45" s="33" t="str">
        <f>'CM attributes, relevance'!A45</f>
        <v>Change right-turn lane geometry to increase line of sight (Approach Level)</v>
      </c>
      <c r="D45" s="34"/>
      <c r="E45" s="35" t="str">
        <f>_xlfn.XLOOKUP(C45,'CMF source, cost, effectiveness'!$A$2:$A$101,'CMF source, cost, effectiveness'!$K$2:$K$101,"")</f>
        <v>Moderate</v>
      </c>
      <c r="F45" s="35" t="str">
        <f>_xlfn.XLOOKUP(C45,'CMF source, cost, effectiveness'!$A$2:$A$66,'CMF source, cost, effectiveness'!$M$2:$M$66,"")</f>
        <v>1 - 2 years</v>
      </c>
      <c r="G45" s="35" t="str">
        <f>_xlfn.XLOOKUP(C45,'CMF source, cost, effectiveness'!$A$2:$A$101,'CMF source, cost, effectiveness'!$L$2:$L$101,"")</f>
        <v>Documented</v>
      </c>
      <c r="H45" s="50" t="str">
        <f>_xlfn.XLOOKUP(C45,Table1[Countermeasure],Table1[Safe System Category],"")</f>
        <v>Safer Roads</v>
      </c>
      <c r="I45" s="1" t="str">
        <f>IF(_xlfn.XLOOKUP($C45,Table1[Countermeasure],Table1[Remove Severe Conflicts])="x","✓","")</f>
        <v>✓</v>
      </c>
      <c r="J45" s="62" t="s">
        <v>48</v>
      </c>
      <c r="K45" s="62" t="s">
        <v>48</v>
      </c>
      <c r="L45" s="62" t="s">
        <v>48</v>
      </c>
      <c r="M45" s="23" t="str">
        <f>IF(OR(_xlfn.XLOOKUP($C45,Table1[Countermeasure],Table1[Signalized Intersection KSI (equity)])="x",_xlfn.XLOOKUP($C45,Table1[Countermeasure],Table1[Bike Crashes, No facility, midblock (equity)])="x",_xlfn.XLOOKUP($C45,Table1[Countermeasure],Table1[Local Intersection, Injury (equity)])="x",_xlfn.XLOOKUP($C45,Table1[Countermeasure],Table1[Posted Speed 40+ mph (equity)])="x"),"✓","")</f>
        <v>✓</v>
      </c>
      <c r="N45" s="2" t="str">
        <f>IF(NOT(ISERROR(SEARCH("CMF",_xlfn.XLOOKUP($C45,'CMF source, cost, effectiveness'!$A$2:$A$62,'CMF source, cost, effectiveness'!$G$2:$G$62)))),_xlfn.XLOOKUP($C45,'CMF source, cost, effectiveness'!$A$2:$A$62,'CMF source, cost, effectiveness'!$G$2:$G$62),"")</f>
        <v>CMF 8498</v>
      </c>
      <c r="O45" s="62" t="s">
        <v>48</v>
      </c>
      <c r="P45" s="62" t="s">
        <v>48</v>
      </c>
      <c r="Q45" s="62" t="s">
        <v>48</v>
      </c>
      <c r="R45" s="62" t="s">
        <v>48</v>
      </c>
      <c r="S45" s="30" t="str" cm="1">
        <f t="array" ref="S45">IF(_xlfn.XLOOKUP($C45,Table1[[Countermeasure]:[Countermeasure]],_xlfn.XLOOKUP('Overall Table'!S$1,Table1[[#Headers],[Bike Crashes, intersection turning conflicts]:[Speeding related vehicle crashes]],Table1[[Bike Crashes, intersection turning conflicts]:[Speeding related vehicle crashes]],""),"")="x","✓",IF(_xlfn.XLOOKUP($C45,Table1[Countermeasure],_xlfn.XLOOKUP('Overall Table'!S$1,Table1[[#Headers],[Bike Crashes, intersection turning conflicts]:[Speeding related vehicle crashes]],Table1[[Bike Crashes, intersection turning conflicts]:[Speeding related vehicle crashes]],""),"")="o","O",""))</f>
        <v>✓</v>
      </c>
      <c r="T45" s="31" t="str" cm="1">
        <f t="array" ref="T45">IF(_xlfn.XLOOKUP($C45,Table1[[Countermeasure]:[Countermeasure]],_xlfn.XLOOKUP('Overall Table'!T$1,Table1[[#Headers],[Bike Crashes, intersection turning conflicts]:[Speeding related vehicle crashes]],Table1[[Bike Crashes, intersection turning conflicts]:[Speeding related vehicle crashes]],""),"")="x","✓",IF(_xlfn.XLOOKUP($C45,Table1[Remove Severe Conflicts],_xlfn.XLOOKUP('Overall Table'!T$1,Table1[[#Headers],[Bike Crashes, intersection turning conflicts]:[Speeding related vehicle crashes]],Table1[[Bike Crashes, intersection turning conflicts]:[Speeding related vehicle crashes]],""),"")="o","O",""))</f>
        <v>✓</v>
      </c>
      <c r="U45" s="62" t="s">
        <v>48</v>
      </c>
      <c r="V45" s="62" t="s">
        <v>48</v>
      </c>
      <c r="W45" s="62" t="s">
        <v>48</v>
      </c>
      <c r="X45" s="62" t="s">
        <v>48</v>
      </c>
      <c r="Y45" s="62" t="s">
        <v>48</v>
      </c>
      <c r="Z45" s="62" t="s">
        <v>48</v>
      </c>
      <c r="AA45" s="62" t="s">
        <v>48</v>
      </c>
      <c r="AB45" s="62" t="s">
        <v>48</v>
      </c>
      <c r="AC45" s="62" t="s">
        <v>48</v>
      </c>
      <c r="AD45" s="62" t="s">
        <v>48</v>
      </c>
    </row>
    <row r="46" spans="1:30" ht="25.5" thickBot="1" x14ac:dyDescent="0.4">
      <c r="A46" s="32" t="str">
        <f>_xlfn.XLOOKUP(C46,Table1[Countermeasure],Table1[Category (FHWA)],"")</f>
        <v>Intersections</v>
      </c>
      <c r="B46" s="36" t="str">
        <f>_xlfn.XLOOKUP(A46,'Data Validation'!$A$2:$A$6,'Data Validation'!$C$2:$C$6,"")&amp;"."&amp;COUNTIF('Overall Table'!$A$2:A46,'Overall Table'!A46)</f>
        <v>IN.11</v>
      </c>
      <c r="C46" s="33" t="str">
        <f>'CM attributes, relevance'!A46</f>
        <v xml:space="preserve">Parking restriction on crosswalk approach </v>
      </c>
      <c r="D46" s="34"/>
      <c r="E46" s="35" t="str">
        <f>_xlfn.XLOOKUP(C46,'CMF source, cost, effectiveness'!$A$2:$A$101,'CMF source, cost, effectiveness'!$K$2:$K$101,"")</f>
        <v>Low</v>
      </c>
      <c r="F46" s="35" t="str">
        <f>_xlfn.XLOOKUP(C46,'CMF source, cost, effectiveness'!$A$2:$A$66,'CMF source, cost, effectiveness'!$M$2:$M$66,"")</f>
        <v>Less than 1 year</v>
      </c>
      <c r="G46" s="35" t="str">
        <f>_xlfn.XLOOKUP(C46,'CMF source, cost, effectiveness'!$A$2:$A$101,'CMF source, cost, effectiveness'!$L$2:$L$101,"")</f>
        <v>Proven</v>
      </c>
      <c r="H46" s="50" t="str">
        <f>_xlfn.XLOOKUP(C46,Table1[Countermeasure],Table1[Safe System Category],"")</f>
        <v>Safer Roads</v>
      </c>
      <c r="I46" s="1" t="str">
        <f>IF(_xlfn.XLOOKUP($C46,Table1[Countermeasure],Table1[Remove Severe Conflicts])="x","✓","")</f>
        <v>✓</v>
      </c>
      <c r="J46" s="62" t="s">
        <v>48</v>
      </c>
      <c r="K46" s="62" t="s">
        <v>48</v>
      </c>
      <c r="L46" s="1" t="str">
        <f>IF(_xlfn.XLOOKUP($C46,Table1[Countermeasure],Table1[Increase Attentiveness &amp; Awareness])="x","✓","")</f>
        <v>✓</v>
      </c>
      <c r="M46" s="62" t="s">
        <v>48</v>
      </c>
      <c r="N46" s="62" t="s">
        <v>48</v>
      </c>
      <c r="O46" s="62" t="s">
        <v>48</v>
      </c>
      <c r="P46" s="62" t="s">
        <v>48</v>
      </c>
      <c r="Q46" s="2" t="str">
        <f>IF(NOT(ISERROR(SEARCH("Big",_xlfn.XLOOKUP($C46,'CMF source, cost, effectiveness'!$A$2:$A$62,'CMF source, cost, effectiveness'!$G$2:$G$62)))),"Minnesota District Safety Plan Big Book of Ideas","")</f>
        <v>Minnesota District Safety Plan Big Book of Ideas</v>
      </c>
      <c r="R46" s="2" t="str">
        <f>IF(_xlfn.XLOOKUP($C46,Table1[Countermeasure],Table1[NCHRP 926])="x","NCHRP 926","")</f>
        <v>NCHRP 926</v>
      </c>
      <c r="S46" s="30" t="str" cm="1">
        <f t="array" ref="S46">IF(_xlfn.XLOOKUP($C46,Table1[[Countermeasure]:[Countermeasure]],_xlfn.XLOOKUP('Overall Table'!S$1,Table1[[#Headers],[Bike Crashes, intersection turning conflicts]:[Speeding related vehicle crashes]],Table1[[Bike Crashes, intersection turning conflicts]:[Speeding related vehicle crashes]],""),"")="x","✓",IF(_xlfn.XLOOKUP($C46,Table1[Countermeasure],_xlfn.XLOOKUP('Overall Table'!S$1,Table1[[#Headers],[Bike Crashes, intersection turning conflicts]:[Speeding related vehicle crashes]],Table1[[Bike Crashes, intersection turning conflicts]:[Speeding related vehicle crashes]],""),"")="o","O",""))</f>
        <v>✓</v>
      </c>
      <c r="T46" s="62" t="s">
        <v>48</v>
      </c>
      <c r="U46" s="62" t="s">
        <v>48</v>
      </c>
      <c r="V46" s="31" t="str" cm="1">
        <f t="array" ref="V46">IF(_xlfn.XLOOKUP($C46,Table1[[Countermeasure]:[Countermeasure]],_xlfn.XLOOKUP('Overall Table'!V$1,Table1[[#Headers],[Bike Crashes, intersection turning conflicts]:[Speeding related vehicle crashes]],Table1[[Bike Crashes, intersection turning conflicts]:[Speeding related vehicle crashes]],""),"")="x","✓",IF(_xlfn.XLOOKUP($C46,Table1[Manage Conflicts in Time],_xlfn.XLOOKUP('Overall Table'!V$1,Table1[[#Headers],[Bike Crashes, intersection turning conflicts]:[Speeding related vehicle crashes]],Table1[[Bike Crashes, intersection turning conflicts]:[Speeding related vehicle crashes]],""),"")="o","O",""))</f>
        <v>✓</v>
      </c>
      <c r="W46" s="62" t="s">
        <v>48</v>
      </c>
      <c r="X46" s="31" t="str" cm="1">
        <f t="array" ref="X46">IF(_xlfn.XLOOKUP($C46,Table1[[Countermeasure]:[Countermeasure]],_xlfn.XLOOKUP('Overall Table'!X$1,Table1[[#Headers],[Bike Crashes, intersection turning conflicts]:[Speeding related vehicle crashes]],Table1[[Bike Crashes, intersection turning conflicts]:[Speeding related vehicle crashes]],""),"")="x","✓",IF(_xlfn.XLOOKUP($C46,Table1[FHWA helper],_xlfn.XLOOKUP('Overall Table'!X$1,Table1[[#Headers],[Bike Crashes, intersection turning conflicts]:[Speeding related vehicle crashes]],Table1[[Bike Crashes, intersection turning conflicts]:[Speeding related vehicle crashes]],""),"")="o","O",""))</f>
        <v>✓</v>
      </c>
      <c r="Y46" s="31" t="str" cm="1">
        <f t="array" ref="Y46">IF(_xlfn.XLOOKUP($C46,Table1[[Countermeasure]:[Countermeasure]],_xlfn.XLOOKUP('Overall Table'!Y$1,Table1[[#Headers],[Bike Crashes, intersection turning conflicts]:[Speeding related vehicle crashes]],Table1[[Bike Crashes, intersection turning conflicts]:[Speeding related vehicle crashes]],""),"")="x","✓",IF(_xlfn.XLOOKUP($C46,Table1[Category (FHWA)],_xlfn.XLOOKUP('Overall Table'!Y$1,Table1[[#Headers],[Bike Crashes, intersection turning conflicts]:[Speeding related vehicle crashes]],Table1[[Bike Crashes, intersection turning conflicts]:[Speeding related vehicle crashes]],""),"")="o","O",""))</f>
        <v>✓</v>
      </c>
      <c r="Z46" s="62" t="s">
        <v>48</v>
      </c>
      <c r="AA46" s="31" t="str" cm="1">
        <f t="array" ref="AA46">IF(_xlfn.XLOOKUP($C46,Table1[[Countermeasure]:[Countermeasure]],_xlfn.XLOOKUP('Overall Table'!AA$1,Table1[[#Headers],[Bike Crashes, intersection turning conflicts]:[Speeding related vehicle crashes]],Table1[[Bike Crashes, intersection turning conflicts]:[Speeding related vehicle crashes]],""),"")="x","✓",IF(_xlfn.XLOOKUP($C46,Table1[MnDOT District Roadway Safety "Big Book of Ideas"],_xlfn.XLOOKUP('Overall Table'!AA$1,Table1[[#Headers],[Bike Crashes, intersection turning conflicts]:[Speeding related vehicle crashes]],Table1[[Bike Crashes, intersection turning conflicts]:[Speeding related vehicle crashes]],""),"")="o","O",""))</f>
        <v>✓</v>
      </c>
      <c r="AB46" s="62" t="s">
        <v>48</v>
      </c>
      <c r="AC46" s="62" t="s">
        <v>48</v>
      </c>
      <c r="AD46" s="62" t="s">
        <v>48</v>
      </c>
    </row>
    <row r="47" spans="1:30" ht="15" thickBot="1" x14ac:dyDescent="0.4">
      <c r="A47" s="32" t="str">
        <f>_xlfn.XLOOKUP(C47,Table1[Countermeasure],Table1[Category (FHWA)],"")</f>
        <v>Intersections</v>
      </c>
      <c r="B47" s="36" t="str">
        <f>_xlfn.XLOOKUP(A47,'Data Validation'!$A$2:$A$6,'Data Validation'!$C$2:$C$6,"")&amp;"."&amp;COUNTIF('Overall Table'!$A$2:A47,'Overall Table'!A47)</f>
        <v>IN.12</v>
      </c>
      <c r="C47" s="33" t="str">
        <f>'CM attributes, relevance'!A47</f>
        <v>Change Intersection Sight Distance</v>
      </c>
      <c r="D47" s="34"/>
      <c r="E47" s="35" t="str">
        <f>_xlfn.XLOOKUP(C47,'CMF source, cost, effectiveness'!$A$2:$A$101,'CMF source, cost, effectiveness'!$K$2:$K$101,"")</f>
        <v>Low</v>
      </c>
      <c r="F47" s="35" t="str">
        <f>_xlfn.XLOOKUP(C47,'CMF source, cost, effectiveness'!$A$2:$A$66,'CMF source, cost, effectiveness'!$M$2:$M$66,"")</f>
        <v>1 - 2 years</v>
      </c>
      <c r="G47" s="35" t="str">
        <f>_xlfn.XLOOKUP(C47,'CMF source, cost, effectiveness'!$A$2:$A$101,'CMF source, cost, effectiveness'!$L$2:$L$101,"")</f>
        <v>Documented</v>
      </c>
      <c r="H47" s="50" t="str">
        <f>_xlfn.XLOOKUP(C47,Table1[Countermeasure],Table1[Safe System Category],"")</f>
        <v>Safer Roads</v>
      </c>
      <c r="I47" s="1" t="str">
        <f>IF(_xlfn.XLOOKUP($C47,Table1[Countermeasure],Table1[Remove Severe Conflicts])="x","✓","")</f>
        <v>✓</v>
      </c>
      <c r="J47" s="62" t="s">
        <v>48</v>
      </c>
      <c r="K47" s="62" t="s">
        <v>48</v>
      </c>
      <c r="L47" s="62" t="s">
        <v>48</v>
      </c>
      <c r="M47" s="23" t="str">
        <f>IF(OR(_xlfn.XLOOKUP($C47,Table1[Countermeasure],Table1[Signalized Intersection KSI (equity)])="x",_xlfn.XLOOKUP($C47,Table1[Countermeasure],Table1[Bike Crashes, No facility, midblock (equity)])="x",_xlfn.XLOOKUP($C47,Table1[Countermeasure],Table1[Local Intersection, Injury (equity)])="x",_xlfn.XLOOKUP($C47,Table1[Countermeasure],Table1[Posted Speed 40+ mph (equity)])="x"),"✓","")</f>
        <v>✓</v>
      </c>
      <c r="N47" s="2" t="str">
        <f>IF(NOT(ISERROR(SEARCH("CMF",_xlfn.XLOOKUP($C47,'CMF source, cost, effectiveness'!$A$2:$A$62,'CMF source, cost, effectiveness'!$G$2:$G$62)))),_xlfn.XLOOKUP($C47,'CMF source, cost, effectiveness'!$A$2:$A$62,'CMF source, cost, effectiveness'!$G$2:$G$62),"")</f>
        <v>CMF 9656</v>
      </c>
      <c r="O47" s="62" t="s">
        <v>48</v>
      </c>
      <c r="P47" s="62" t="s">
        <v>48</v>
      </c>
      <c r="Q47" s="62" t="s">
        <v>48</v>
      </c>
      <c r="R47" s="62" t="s">
        <v>48</v>
      </c>
      <c r="S47" s="30" t="str" cm="1">
        <f t="array" ref="S47">IF(_xlfn.XLOOKUP($C47,Table1[[Countermeasure]:[Countermeasure]],_xlfn.XLOOKUP('Overall Table'!S$1,Table1[[#Headers],[Bike Crashes, intersection turning conflicts]:[Speeding related vehicle crashes]],Table1[[Bike Crashes, intersection turning conflicts]:[Speeding related vehicle crashes]],""),"")="x","✓",IF(_xlfn.XLOOKUP($C47,Table1[Countermeasure],_xlfn.XLOOKUP('Overall Table'!S$1,Table1[[#Headers],[Bike Crashes, intersection turning conflicts]:[Speeding related vehicle crashes]],Table1[[Bike Crashes, intersection turning conflicts]:[Speeding related vehicle crashes]],""),"")="o","O",""))</f>
        <v>✓</v>
      </c>
      <c r="T47" s="31" t="str" cm="1">
        <f t="array" ref="T47">IF(_xlfn.XLOOKUP($C47,Table1[[Countermeasure]:[Countermeasure]],_xlfn.XLOOKUP('Overall Table'!T$1,Table1[[#Headers],[Bike Crashes, intersection turning conflicts]:[Speeding related vehicle crashes]],Table1[[Bike Crashes, intersection turning conflicts]:[Speeding related vehicle crashes]],""),"")="x","✓",IF(_xlfn.XLOOKUP($C47,Table1[Remove Severe Conflicts],_xlfn.XLOOKUP('Overall Table'!T$1,Table1[[#Headers],[Bike Crashes, intersection turning conflicts]:[Speeding related vehicle crashes]],Table1[[Bike Crashes, intersection turning conflicts]:[Speeding related vehicle crashes]],""),"")="o","O",""))</f>
        <v>✓</v>
      </c>
      <c r="U47" s="62" t="s">
        <v>48</v>
      </c>
      <c r="V47" s="62" t="s">
        <v>48</v>
      </c>
      <c r="W47" s="62" t="s">
        <v>48</v>
      </c>
      <c r="X47" s="62" t="s">
        <v>48</v>
      </c>
      <c r="Y47" s="62" t="s">
        <v>48</v>
      </c>
      <c r="Z47" s="62" t="s">
        <v>48</v>
      </c>
      <c r="AA47" s="62" t="s">
        <v>48</v>
      </c>
      <c r="AB47" s="62" t="s">
        <v>48</v>
      </c>
      <c r="AC47" s="62" t="s">
        <v>48</v>
      </c>
      <c r="AD47" s="62" t="s">
        <v>48</v>
      </c>
    </row>
    <row r="48" spans="1:30" ht="25.5" thickBot="1" x14ac:dyDescent="0.4">
      <c r="A48" s="32" t="str">
        <f>_xlfn.XLOOKUP(C48,Table1[Countermeasure],Table1[Category (FHWA)],"")</f>
        <v>Intersections</v>
      </c>
      <c r="B48" s="36" t="str">
        <f>_xlfn.XLOOKUP(A48,'Data Validation'!$A$2:$A$6,'Data Validation'!$C$2:$C$6,"")&amp;"."&amp;COUNTIF('Overall Table'!$A$2:A48,'Overall Table'!A48)</f>
        <v>IN.13</v>
      </c>
      <c r="C48" s="33" t="str">
        <f>'CM attributes, relevance'!A48</f>
        <v>Change Intersection Skew Angle</v>
      </c>
      <c r="D48" s="34"/>
      <c r="E48" s="35" t="str">
        <f>_xlfn.XLOOKUP(C48,'CMF source, cost, effectiveness'!$A$2:$A$101,'CMF source, cost, effectiveness'!$K$2:$K$101,"")</f>
        <v>High</v>
      </c>
      <c r="F48" s="35" t="str">
        <f>_xlfn.XLOOKUP(C48,'CMF source, cost, effectiveness'!$A$2:$A$66,'CMF source, cost, effectiveness'!$M$2:$M$66,"")</f>
        <v>More than 2 years</v>
      </c>
      <c r="G48" s="35" t="str">
        <f>_xlfn.XLOOKUP(C48,'CMF source, cost, effectiveness'!$A$2:$A$101,'CMF source, cost, effectiveness'!$L$2:$L$101,"")</f>
        <v>Proven</v>
      </c>
      <c r="H48" s="50" t="str">
        <f>_xlfn.XLOOKUP(C48,Table1[Countermeasure],Table1[Safe System Category],"")</f>
        <v>Safer Roads</v>
      </c>
      <c r="I48" s="1" t="str">
        <f>IF(_xlfn.XLOOKUP($C48,Table1[Countermeasure],Table1[Remove Severe Conflicts])="x","✓","")</f>
        <v>✓</v>
      </c>
      <c r="J48" s="62" t="s">
        <v>48</v>
      </c>
      <c r="K48" s="62" t="s">
        <v>48</v>
      </c>
      <c r="L48" s="62" t="s">
        <v>48</v>
      </c>
      <c r="M48" s="23" t="str">
        <f>IF(OR(_xlfn.XLOOKUP($C48,Table1[Countermeasure],Table1[Signalized Intersection KSI (equity)])="x",_xlfn.XLOOKUP($C48,Table1[Countermeasure],Table1[Bike Crashes, No facility, midblock (equity)])="x",_xlfn.XLOOKUP($C48,Table1[Countermeasure],Table1[Local Intersection, Injury (equity)])="x",_xlfn.XLOOKUP($C48,Table1[Countermeasure],Table1[Posted Speed 40+ mph (equity)])="x"),"✓","")</f>
        <v>✓</v>
      </c>
      <c r="N48" s="62" t="s">
        <v>48</v>
      </c>
      <c r="O48" s="62" t="s">
        <v>48</v>
      </c>
      <c r="P48" s="62" t="s">
        <v>48</v>
      </c>
      <c r="Q48" s="2" t="str">
        <f>IF(NOT(ISERROR(SEARCH("Big",_xlfn.XLOOKUP($C48,'CMF source, cost, effectiveness'!$A$2:$A$62,'CMF source, cost, effectiveness'!$G$2:$G$62)))),"Minnesota District Safety Plan Big Book of Ideas","")</f>
        <v>Minnesota District Safety Plan Big Book of Ideas</v>
      </c>
      <c r="R48" s="62" t="s">
        <v>48</v>
      </c>
      <c r="S48" s="30" t="str" cm="1">
        <f t="array" ref="S48">IF(_xlfn.XLOOKUP($C48,Table1[[Countermeasure]:[Countermeasure]],_xlfn.XLOOKUP('Overall Table'!S$1,Table1[[#Headers],[Bike Crashes, intersection turning conflicts]:[Speeding related vehicle crashes]],Table1[[Bike Crashes, intersection turning conflicts]:[Speeding related vehicle crashes]],""),"")="x","✓",IF(_xlfn.XLOOKUP($C48,Table1[Countermeasure],_xlfn.XLOOKUP('Overall Table'!S$1,Table1[[#Headers],[Bike Crashes, intersection turning conflicts]:[Speeding related vehicle crashes]],Table1[[Bike Crashes, intersection turning conflicts]:[Speeding related vehicle crashes]],""),"")="o","O",""))</f>
        <v>✓</v>
      </c>
      <c r="T48" s="31" t="str" cm="1">
        <f t="array" ref="T48">IF(_xlfn.XLOOKUP($C48,Table1[[Countermeasure]:[Countermeasure]],_xlfn.XLOOKUP('Overall Table'!T$1,Table1[[#Headers],[Bike Crashes, intersection turning conflicts]:[Speeding related vehicle crashes]],Table1[[Bike Crashes, intersection turning conflicts]:[Speeding related vehicle crashes]],""),"")="x","✓",IF(_xlfn.XLOOKUP($C48,Table1[Remove Severe Conflicts],_xlfn.XLOOKUP('Overall Table'!T$1,Table1[[#Headers],[Bike Crashes, intersection turning conflicts]:[Speeding related vehicle crashes]],Table1[[Bike Crashes, intersection turning conflicts]:[Speeding related vehicle crashes]],""),"")="o","O",""))</f>
        <v>✓</v>
      </c>
      <c r="U48" s="62" t="s">
        <v>48</v>
      </c>
      <c r="V48" s="62" t="s">
        <v>48</v>
      </c>
      <c r="W48" s="62" t="s">
        <v>48</v>
      </c>
      <c r="X48" s="62" t="s">
        <v>48</v>
      </c>
      <c r="Y48" s="62" t="s">
        <v>48</v>
      </c>
      <c r="Z48" s="62" t="s">
        <v>48</v>
      </c>
      <c r="AA48" s="62" t="s">
        <v>48</v>
      </c>
      <c r="AB48" s="62" t="s">
        <v>48</v>
      </c>
      <c r="AC48" s="62" t="s">
        <v>48</v>
      </c>
      <c r="AD48" s="62" t="s">
        <v>48</v>
      </c>
    </row>
    <row r="49" spans="1:30" ht="25.5" thickBot="1" x14ac:dyDescent="0.4">
      <c r="A49" s="32" t="str">
        <f>_xlfn.XLOOKUP(C49,Table1[Countermeasure],Table1[Category (FHWA)],"")</f>
        <v>Intersections</v>
      </c>
      <c r="B49" s="36" t="str">
        <f>_xlfn.XLOOKUP(A49,'Data Validation'!$A$2:$A$6,'Data Validation'!$C$2:$C$6,"")&amp;"."&amp;COUNTIF('Overall Table'!$A$2:A49,'Overall Table'!A49)</f>
        <v>IN.14</v>
      </c>
      <c r="C49" s="33" t="str">
        <f>'CM attributes, relevance'!A49</f>
        <v>Curb extensions</v>
      </c>
      <c r="D49" s="34"/>
      <c r="E49" s="35" t="str">
        <f>_xlfn.XLOOKUP(C49,'CMF source, cost, effectiveness'!$A$2:$A$101,'CMF source, cost, effectiveness'!$K$2:$K$101,"")</f>
        <v>Moderate</v>
      </c>
      <c r="F49" s="35" t="str">
        <f>_xlfn.XLOOKUP(C49,'CMF source, cost, effectiveness'!$A$2:$A$66,'CMF source, cost, effectiveness'!$M$2:$M$66,"")</f>
        <v>More than 2 years</v>
      </c>
      <c r="G49" s="35" t="str">
        <f>_xlfn.XLOOKUP(C49,'CMF source, cost, effectiveness'!$A$2:$A$101,'CMF source, cost, effectiveness'!$L$2:$L$101,"")</f>
        <v>Proven</v>
      </c>
      <c r="H49" s="50" t="str">
        <f>_xlfn.XLOOKUP(C49,Table1[Countermeasure],Table1[Safe System Category],"")</f>
        <v>Safer Roads</v>
      </c>
      <c r="I49" s="62" t="s">
        <v>48</v>
      </c>
      <c r="J49" s="1" t="str">
        <f>IF(_xlfn.XLOOKUP($C49,Table1[Countermeasure],Table1[Reduce Vehicle Speeds])="x","✓","")</f>
        <v>✓</v>
      </c>
      <c r="K49" s="62" t="s">
        <v>48</v>
      </c>
      <c r="L49" s="1" t="str">
        <f>IF(_xlfn.XLOOKUP($C49,Table1[Countermeasure],Table1[Increase Attentiveness &amp; Awareness])="x","✓","")</f>
        <v>✓</v>
      </c>
      <c r="M49" s="62" t="s">
        <v>48</v>
      </c>
      <c r="N49" s="62" t="s">
        <v>48</v>
      </c>
      <c r="O49" s="62" t="s">
        <v>48</v>
      </c>
      <c r="P49" s="62" t="s">
        <v>48</v>
      </c>
      <c r="Q49" s="2" t="str">
        <f>IF(NOT(ISERROR(SEARCH("Big",_xlfn.XLOOKUP($C49,'CMF source, cost, effectiveness'!$A$2:$A$62,'CMF source, cost, effectiveness'!$G$2:$G$62)))),"Minnesota District Safety Plan Big Book of Ideas","")</f>
        <v>Minnesota District Safety Plan Big Book of Ideas</v>
      </c>
      <c r="R49" s="62" t="s">
        <v>48</v>
      </c>
      <c r="S49" s="30" t="str" cm="1">
        <f t="array" ref="S49">IF(_xlfn.XLOOKUP($C49,Table1[[Countermeasure]:[Countermeasure]],_xlfn.XLOOKUP('Overall Table'!S$1,Table1[[#Headers],[Bike Crashes, intersection turning conflicts]:[Speeding related vehicle crashes]],Table1[[Bike Crashes, intersection turning conflicts]:[Speeding related vehicle crashes]],""),"")="x","✓",IF(_xlfn.XLOOKUP($C49,Table1[Countermeasure],_xlfn.XLOOKUP('Overall Table'!S$1,Table1[[#Headers],[Bike Crashes, intersection turning conflicts]:[Speeding related vehicle crashes]],Table1[[Bike Crashes, intersection turning conflicts]:[Speeding related vehicle crashes]],""),"")="o","O",""))</f>
        <v>✓</v>
      </c>
      <c r="T49" s="62" t="s">
        <v>48</v>
      </c>
      <c r="U49" s="62" t="s">
        <v>48</v>
      </c>
      <c r="V49" s="31" t="str" cm="1">
        <f t="array" ref="V49">IF(_xlfn.XLOOKUP($C49,Table1[[Countermeasure]:[Countermeasure]],_xlfn.XLOOKUP('Overall Table'!V$1,Table1[[#Headers],[Bike Crashes, intersection turning conflicts]:[Speeding related vehicle crashes]],Table1[[Bike Crashes, intersection turning conflicts]:[Speeding related vehicle crashes]],""),"")="x","✓",IF(_xlfn.XLOOKUP($C49,Table1[Manage Conflicts in Time],_xlfn.XLOOKUP('Overall Table'!V$1,Table1[[#Headers],[Bike Crashes, intersection turning conflicts]:[Speeding related vehicle crashes]],Table1[[Bike Crashes, intersection turning conflicts]:[Speeding related vehicle crashes]],""),"")="o","O",""))</f>
        <v>✓</v>
      </c>
      <c r="W49" s="62" t="s">
        <v>48</v>
      </c>
      <c r="X49" s="31" t="str" cm="1">
        <f t="array" ref="X49">IF(_xlfn.XLOOKUP($C49,Table1[[Countermeasure]:[Countermeasure]],_xlfn.XLOOKUP('Overall Table'!X$1,Table1[[#Headers],[Bike Crashes, intersection turning conflicts]:[Speeding related vehicle crashes]],Table1[[Bike Crashes, intersection turning conflicts]:[Speeding related vehicle crashes]],""),"")="x","✓",IF(_xlfn.XLOOKUP($C49,Table1[FHWA helper],_xlfn.XLOOKUP('Overall Table'!X$1,Table1[[#Headers],[Bike Crashes, intersection turning conflicts]:[Speeding related vehicle crashes]],Table1[[Bike Crashes, intersection turning conflicts]:[Speeding related vehicle crashes]],""),"")="o","O",""))</f>
        <v>✓</v>
      </c>
      <c r="Y49" s="31" t="str" cm="1">
        <f t="array" ref="Y49">IF(_xlfn.XLOOKUP($C49,Table1[[Countermeasure]:[Countermeasure]],_xlfn.XLOOKUP('Overall Table'!Y$1,Table1[[#Headers],[Bike Crashes, intersection turning conflicts]:[Speeding related vehicle crashes]],Table1[[Bike Crashes, intersection turning conflicts]:[Speeding related vehicle crashes]],""),"")="x","✓",IF(_xlfn.XLOOKUP($C49,Table1[Category (FHWA)],_xlfn.XLOOKUP('Overall Table'!Y$1,Table1[[#Headers],[Bike Crashes, intersection turning conflicts]:[Speeding related vehicle crashes]],Table1[[Bike Crashes, intersection turning conflicts]:[Speeding related vehicle crashes]],""),"")="o","O",""))</f>
        <v>✓</v>
      </c>
      <c r="Z49" s="62" t="s">
        <v>48</v>
      </c>
      <c r="AA49" s="31" t="str" cm="1">
        <f t="array" ref="AA49">IF(_xlfn.XLOOKUP($C49,Table1[[Countermeasure]:[Countermeasure]],_xlfn.XLOOKUP('Overall Table'!AA$1,Table1[[#Headers],[Bike Crashes, intersection turning conflicts]:[Speeding related vehicle crashes]],Table1[[Bike Crashes, intersection turning conflicts]:[Speeding related vehicle crashes]],""),"")="x","✓",IF(_xlfn.XLOOKUP($C49,Table1[MnDOT District Roadway Safety "Big Book of Ideas"],_xlfn.XLOOKUP('Overall Table'!AA$1,Table1[[#Headers],[Bike Crashes, intersection turning conflicts]:[Speeding related vehicle crashes]],Table1[[Bike Crashes, intersection turning conflicts]:[Speeding related vehicle crashes]],""),"")="o","O",""))</f>
        <v>✓</v>
      </c>
      <c r="AB49" s="62" t="s">
        <v>48</v>
      </c>
      <c r="AC49" s="62" t="s">
        <v>48</v>
      </c>
      <c r="AD49" s="62" t="s">
        <v>48</v>
      </c>
    </row>
    <row r="50" spans="1:30" ht="25.5" thickBot="1" x14ac:dyDescent="0.4">
      <c r="A50" s="32" t="str">
        <f>_xlfn.XLOOKUP(C50,Table1[Countermeasure],Table1[Category (FHWA)],"")</f>
        <v>Intersections</v>
      </c>
      <c r="B50" s="36" t="str">
        <f>_xlfn.XLOOKUP(A50,'Data Validation'!$A$2:$A$6,'Data Validation'!$C$2:$C$6,"")&amp;"."&amp;COUNTIF('Overall Table'!$A$2:A50,'Overall Table'!A50)</f>
        <v>IN.15</v>
      </c>
      <c r="C50" s="33" t="str">
        <f>'CM attributes, relevance'!A50</f>
        <v>Hardened centerlines</v>
      </c>
      <c r="D50" s="34"/>
      <c r="E50" s="35" t="str">
        <f>_xlfn.XLOOKUP(C50,'CMF source, cost, effectiveness'!$A$2:$A$101,'CMF source, cost, effectiveness'!$K$2:$K$101,"")</f>
        <v>Low</v>
      </c>
      <c r="F50" s="35" t="str">
        <f>_xlfn.XLOOKUP(C50,'CMF source, cost, effectiveness'!$A$2:$A$66,'CMF source, cost, effectiveness'!$M$2:$M$66,"")</f>
        <v>Less than 1 year</v>
      </c>
      <c r="G50" s="35" t="str">
        <f>_xlfn.XLOOKUP(C50,'CMF source, cost, effectiveness'!$A$2:$A$101,'CMF source, cost, effectiveness'!$L$2:$L$101,"")</f>
        <v>Proven</v>
      </c>
      <c r="H50" s="50" t="str">
        <f>_xlfn.XLOOKUP(C50,Table1[Countermeasure],Table1[Safe System Category],"")</f>
        <v>Safer Roads</v>
      </c>
      <c r="I50" s="62" t="s">
        <v>48</v>
      </c>
      <c r="J50" s="1" t="str">
        <f>IF(_xlfn.XLOOKUP($C50,Table1[Countermeasure],Table1[Reduce Vehicle Speeds])="x","✓","")</f>
        <v>✓</v>
      </c>
      <c r="K50" s="62" t="s">
        <v>48</v>
      </c>
      <c r="L50" s="62" t="s">
        <v>48</v>
      </c>
      <c r="M50" s="23" t="str">
        <f>IF(OR(_xlfn.XLOOKUP($C50,Table1[Countermeasure],Table1[Signalized Intersection KSI (equity)])="x",_xlfn.XLOOKUP($C50,Table1[Countermeasure],Table1[Bike Crashes, No facility, midblock (equity)])="x",_xlfn.XLOOKUP($C50,Table1[Countermeasure],Table1[Local Intersection, Injury (equity)])="x",_xlfn.XLOOKUP($C50,Table1[Countermeasure],Table1[Posted Speed 40+ mph (equity)])="x"),"✓","")</f>
        <v>✓</v>
      </c>
      <c r="N50" s="62" t="s">
        <v>48</v>
      </c>
      <c r="O50" s="62" t="s">
        <v>48</v>
      </c>
      <c r="P50" s="62" t="s">
        <v>48</v>
      </c>
      <c r="Q50" s="2" t="str">
        <f>IF(NOT(ISERROR(SEARCH("Big",_xlfn.XLOOKUP($C50,'CMF source, cost, effectiveness'!$A$2:$A$62,'CMF source, cost, effectiveness'!$G$2:$G$62)))),"Minnesota District Safety Plan Big Book of Ideas","")</f>
        <v>Minnesota District Safety Plan Big Book of Ideas</v>
      </c>
      <c r="R50" s="62" t="s">
        <v>48</v>
      </c>
      <c r="S50" s="30" t="str" cm="1">
        <f t="array" ref="S50">IF(_xlfn.XLOOKUP($C50,Table1[[Countermeasure]:[Countermeasure]],_xlfn.XLOOKUP('Overall Table'!S$1,Table1[[#Headers],[Bike Crashes, intersection turning conflicts]:[Speeding related vehicle crashes]],Table1[[Bike Crashes, intersection turning conflicts]:[Speeding related vehicle crashes]],""),"")="x","✓",IF(_xlfn.XLOOKUP($C50,Table1[Countermeasure],_xlfn.XLOOKUP('Overall Table'!S$1,Table1[[#Headers],[Bike Crashes, intersection turning conflicts]:[Speeding related vehicle crashes]],Table1[[Bike Crashes, intersection turning conflicts]:[Speeding related vehicle crashes]],""),"")="o","O",""))</f>
        <v>✓</v>
      </c>
      <c r="T50" s="31" t="str" cm="1">
        <f t="array" ref="T50">IF(_xlfn.XLOOKUP($C50,Table1[[Countermeasure]:[Countermeasure]],_xlfn.XLOOKUP('Overall Table'!T$1,Table1[[#Headers],[Bike Crashes, intersection turning conflicts]:[Speeding related vehicle crashes]],Table1[[Bike Crashes, intersection turning conflicts]:[Speeding related vehicle crashes]],""),"")="x","✓",IF(_xlfn.XLOOKUP($C50,Table1[Remove Severe Conflicts],_xlfn.XLOOKUP('Overall Table'!T$1,Table1[[#Headers],[Bike Crashes, intersection turning conflicts]:[Speeding related vehicle crashes]],Table1[[Bike Crashes, intersection turning conflicts]:[Speeding related vehicle crashes]],""),"")="o","O",""))</f>
        <v>✓</v>
      </c>
      <c r="U50" s="62" t="s">
        <v>48</v>
      </c>
      <c r="V50" s="31" t="str" cm="1">
        <f t="array" ref="V50">IF(_xlfn.XLOOKUP($C50,Table1[[Countermeasure]:[Countermeasure]],_xlfn.XLOOKUP('Overall Table'!V$1,Table1[[#Headers],[Bike Crashes, intersection turning conflicts]:[Speeding related vehicle crashes]],Table1[[Bike Crashes, intersection turning conflicts]:[Speeding related vehicle crashes]],""),"")="x","✓",IF(_xlfn.XLOOKUP($C50,Table1[Manage Conflicts in Time],_xlfn.XLOOKUP('Overall Table'!V$1,Table1[[#Headers],[Bike Crashes, intersection turning conflicts]:[Speeding related vehicle crashes]],Table1[[Bike Crashes, intersection turning conflicts]:[Speeding related vehicle crashes]],""),"")="o","O",""))</f>
        <v>✓</v>
      </c>
      <c r="W50" s="62" t="s">
        <v>48</v>
      </c>
      <c r="X50" s="31" t="str" cm="1">
        <f t="array" ref="X50">IF(_xlfn.XLOOKUP($C50,Table1[[Countermeasure]:[Countermeasure]],_xlfn.XLOOKUP('Overall Table'!X$1,Table1[[#Headers],[Bike Crashes, intersection turning conflicts]:[Speeding related vehicle crashes]],Table1[[Bike Crashes, intersection turning conflicts]:[Speeding related vehicle crashes]],""),"")="x","✓",IF(_xlfn.XLOOKUP($C50,Table1[FHWA helper],_xlfn.XLOOKUP('Overall Table'!X$1,Table1[[#Headers],[Bike Crashes, intersection turning conflicts]:[Speeding related vehicle crashes]],Table1[[Bike Crashes, intersection turning conflicts]:[Speeding related vehicle crashes]],""),"")="o","O",""))</f>
        <v>✓</v>
      </c>
      <c r="Y50" s="31" t="str" cm="1">
        <f t="array" ref="Y50">IF(_xlfn.XLOOKUP($C50,Table1[[Countermeasure]:[Countermeasure]],_xlfn.XLOOKUP('Overall Table'!Y$1,Table1[[#Headers],[Bike Crashes, intersection turning conflicts]:[Speeding related vehicle crashes]],Table1[[Bike Crashes, intersection turning conflicts]:[Speeding related vehicle crashes]],""),"")="x","✓",IF(_xlfn.XLOOKUP($C50,Table1[Category (FHWA)],_xlfn.XLOOKUP('Overall Table'!Y$1,Table1[[#Headers],[Bike Crashes, intersection turning conflicts]:[Speeding related vehicle crashes]],Table1[[Bike Crashes, intersection turning conflicts]:[Speeding related vehicle crashes]],""),"")="o","O",""))</f>
        <v>✓</v>
      </c>
      <c r="Z50" s="31" t="str" cm="1">
        <f t="array" ref="Z50">IF(_xlfn.XLOOKUP($C50,Table1[[Countermeasure]:[Countermeasure]],_xlfn.XLOOKUP('Overall Table'!Z$1,Table1[[#Headers],[Bike Crashes, intersection turning conflicts]:[Speeding related vehicle crashes]],Table1[[Bike Crashes, intersection turning conflicts]:[Speeding related vehicle crashes]],""),"")="x","✓",IF(_xlfn.XLOOKUP($C50,Table1[Proven Safety Countermeasure],_xlfn.XLOOKUP('Overall Table'!Z$1,Table1[[#Headers],[Bike Crashes, intersection turning conflicts]:[Speeding related vehicle crashes]],Table1[[Bike Crashes, intersection turning conflicts]:[Speeding related vehicle crashes]],""),"")="o","O",""))</f>
        <v>✓</v>
      </c>
      <c r="AA50" s="31" t="str" cm="1">
        <f t="array" ref="AA50">IF(_xlfn.XLOOKUP($C50,Table1[[Countermeasure]:[Countermeasure]],_xlfn.XLOOKUP('Overall Table'!AA$1,Table1[[#Headers],[Bike Crashes, intersection turning conflicts]:[Speeding related vehicle crashes]],Table1[[Bike Crashes, intersection turning conflicts]:[Speeding related vehicle crashes]],""),"")="x","✓",IF(_xlfn.XLOOKUP($C50,Table1[MnDOT District Roadway Safety "Big Book of Ideas"],_xlfn.XLOOKUP('Overall Table'!AA$1,Table1[[#Headers],[Bike Crashes, intersection turning conflicts]:[Speeding related vehicle crashes]],Table1[[Bike Crashes, intersection turning conflicts]:[Speeding related vehicle crashes]],""),"")="o","O",""))</f>
        <v>✓</v>
      </c>
      <c r="AB50" s="62" t="s">
        <v>48</v>
      </c>
      <c r="AC50" s="62" t="s">
        <v>48</v>
      </c>
      <c r="AD50" s="62" t="s">
        <v>48</v>
      </c>
    </row>
    <row r="51" spans="1:30" ht="15" thickBot="1" x14ac:dyDescent="0.4">
      <c r="A51" s="32" t="str">
        <f>_xlfn.XLOOKUP(C51,Table1[Countermeasure],Table1[Category (FHWA)],"")</f>
        <v>Intersections</v>
      </c>
      <c r="B51" s="36" t="str">
        <f>_xlfn.XLOOKUP(A51,'Data Validation'!$A$2:$A$6,'Data Validation'!$C$2:$C$6,"")&amp;"."&amp;COUNTIF('Overall Table'!$A$2:A51,'Overall Table'!A51)</f>
        <v>IN.16</v>
      </c>
      <c r="C51" s="33" t="str">
        <f>'CM attributes, relevance'!A51</f>
        <v>Protected-only left/right turns</v>
      </c>
      <c r="D51" s="34"/>
      <c r="E51" s="35" t="str">
        <f>_xlfn.XLOOKUP(C51,'CMF source, cost, effectiveness'!$A$2:$A$101,'CMF source, cost, effectiveness'!$K$2:$K$101,"")</f>
        <v>Low</v>
      </c>
      <c r="F51" s="35" t="str">
        <f>_xlfn.XLOOKUP(C51,'CMF source, cost, effectiveness'!$A$2:$A$66,'CMF source, cost, effectiveness'!$M$2:$M$66,"")</f>
        <v>1 - 2 years</v>
      </c>
      <c r="G51" s="35" t="str">
        <f>_xlfn.XLOOKUP(C51,'CMF source, cost, effectiveness'!$A$2:$A$101,'CMF source, cost, effectiveness'!$L$2:$L$101,"")</f>
        <v>Documented</v>
      </c>
      <c r="H51" s="50" t="str">
        <f>_xlfn.XLOOKUP(C51,Table1[Countermeasure],Table1[Safe System Category],"")</f>
        <v>Safer Roads</v>
      </c>
      <c r="I51" s="62" t="s">
        <v>48</v>
      </c>
      <c r="J51" s="62" t="s">
        <v>48</v>
      </c>
      <c r="K51" s="1" t="str">
        <f>IF(_xlfn.XLOOKUP($C51,Table1[Countermeasure],Table1[Manage Conflicts in Time])="x","✓","")</f>
        <v>✓</v>
      </c>
      <c r="L51" s="62" t="s">
        <v>48</v>
      </c>
      <c r="M51" s="23" t="str">
        <f>IF(OR(_xlfn.XLOOKUP($C51,Table1[Countermeasure],Table1[Signalized Intersection KSI (equity)])="x",_xlfn.XLOOKUP($C51,Table1[Countermeasure],Table1[Bike Crashes, No facility, midblock (equity)])="x",_xlfn.XLOOKUP($C51,Table1[Countermeasure],Table1[Local Intersection, Injury (equity)])="x",_xlfn.XLOOKUP($C51,Table1[Countermeasure],Table1[Posted Speed 40+ mph (equity)])="x"),"✓","")</f>
        <v>✓</v>
      </c>
      <c r="N51" s="2" t="str">
        <f>IF(NOT(ISERROR(SEARCH("CMF",_xlfn.XLOOKUP($C51,'CMF source, cost, effectiveness'!$A$2:$A$62,'CMF source, cost, effectiveness'!$G$2:$G$62)))),_xlfn.XLOOKUP($C51,'CMF source, cost, effectiveness'!$A$2:$A$62,'CMF source, cost, effectiveness'!$G$2:$G$62),"")</f>
        <v>CMF 11162</v>
      </c>
      <c r="O51" s="62" t="s">
        <v>48</v>
      </c>
      <c r="P51" s="62" t="s">
        <v>48</v>
      </c>
      <c r="Q51" s="62" t="s">
        <v>48</v>
      </c>
      <c r="R51" s="2" t="str">
        <f>IF(_xlfn.XLOOKUP($C51,Table1[Countermeasure],Table1[NCHRP 926])="x","NCHRP 926","")</f>
        <v>NCHRP 926</v>
      </c>
      <c r="S51" s="30" t="str" cm="1">
        <f t="array" ref="S51">IF(_xlfn.XLOOKUP($C51,Table1[[Countermeasure]:[Countermeasure]],_xlfn.XLOOKUP('Overall Table'!S$1,Table1[[#Headers],[Bike Crashes, intersection turning conflicts]:[Speeding related vehicle crashes]],Table1[[Bike Crashes, intersection turning conflicts]:[Speeding related vehicle crashes]],""),"")="x","✓",IF(_xlfn.XLOOKUP($C51,Table1[Countermeasure],_xlfn.XLOOKUP('Overall Table'!S$1,Table1[[#Headers],[Bike Crashes, intersection turning conflicts]:[Speeding related vehicle crashes]],Table1[[Bike Crashes, intersection turning conflicts]:[Speeding related vehicle crashes]],""),"")="o","O",""))</f>
        <v>✓</v>
      </c>
      <c r="T51" s="31" t="str" cm="1">
        <f t="array" ref="T51">IF(_xlfn.XLOOKUP($C51,Table1[[Countermeasure]:[Countermeasure]],_xlfn.XLOOKUP('Overall Table'!T$1,Table1[[#Headers],[Bike Crashes, intersection turning conflicts]:[Speeding related vehicle crashes]],Table1[[Bike Crashes, intersection turning conflicts]:[Speeding related vehicle crashes]],""),"")="x","✓",IF(_xlfn.XLOOKUP($C51,Table1[Remove Severe Conflicts],_xlfn.XLOOKUP('Overall Table'!T$1,Table1[[#Headers],[Bike Crashes, intersection turning conflicts]:[Speeding related vehicle crashes]],Table1[[Bike Crashes, intersection turning conflicts]:[Speeding related vehicle crashes]],""),"")="o","O",""))</f>
        <v>✓</v>
      </c>
      <c r="U51" s="62" t="s">
        <v>48</v>
      </c>
      <c r="V51" s="31" t="str" cm="1">
        <f t="array" ref="V51">IF(_xlfn.XLOOKUP($C51,Table1[[Countermeasure]:[Countermeasure]],_xlfn.XLOOKUP('Overall Table'!V$1,Table1[[#Headers],[Bike Crashes, intersection turning conflicts]:[Speeding related vehicle crashes]],Table1[[Bike Crashes, intersection turning conflicts]:[Speeding related vehicle crashes]],""),"")="x","✓",IF(_xlfn.XLOOKUP($C51,Table1[Manage Conflicts in Time],_xlfn.XLOOKUP('Overall Table'!V$1,Table1[[#Headers],[Bike Crashes, intersection turning conflicts]:[Speeding related vehicle crashes]],Table1[[Bike Crashes, intersection turning conflicts]:[Speeding related vehicle crashes]],""),"")="o","O",""))</f>
        <v>✓</v>
      </c>
      <c r="W51" s="62" t="s">
        <v>48</v>
      </c>
      <c r="X51" s="31" t="str" cm="1">
        <f t="array" ref="X51">IF(_xlfn.XLOOKUP($C51,Table1[[Countermeasure]:[Countermeasure]],_xlfn.XLOOKUP('Overall Table'!X$1,Table1[[#Headers],[Bike Crashes, intersection turning conflicts]:[Speeding related vehicle crashes]],Table1[[Bike Crashes, intersection turning conflicts]:[Speeding related vehicle crashes]],""),"")="x","✓",IF(_xlfn.XLOOKUP($C51,Table1[FHWA helper],_xlfn.XLOOKUP('Overall Table'!X$1,Table1[[#Headers],[Bike Crashes, intersection turning conflicts]:[Speeding related vehicle crashes]],Table1[[Bike Crashes, intersection turning conflicts]:[Speeding related vehicle crashes]],""),"")="o","O",""))</f>
        <v>✓</v>
      </c>
      <c r="Y51" s="31" t="str" cm="1">
        <f t="array" ref="Y51">IF(_xlfn.XLOOKUP($C51,Table1[[Countermeasure]:[Countermeasure]],_xlfn.XLOOKUP('Overall Table'!Y$1,Table1[[#Headers],[Bike Crashes, intersection turning conflicts]:[Speeding related vehicle crashes]],Table1[[Bike Crashes, intersection turning conflicts]:[Speeding related vehicle crashes]],""),"")="x","✓",IF(_xlfn.XLOOKUP($C51,Table1[Category (FHWA)],_xlfn.XLOOKUP('Overall Table'!Y$1,Table1[[#Headers],[Bike Crashes, intersection turning conflicts]:[Speeding related vehicle crashes]],Table1[[Bike Crashes, intersection turning conflicts]:[Speeding related vehicle crashes]],""),"")="o","O",""))</f>
        <v>✓</v>
      </c>
      <c r="Z51" s="31" t="str" cm="1">
        <f t="array" ref="Z51">IF(_xlfn.XLOOKUP($C51,Table1[[Countermeasure]:[Countermeasure]],_xlfn.XLOOKUP('Overall Table'!Z$1,Table1[[#Headers],[Bike Crashes, intersection turning conflicts]:[Speeding related vehicle crashes]],Table1[[Bike Crashes, intersection turning conflicts]:[Speeding related vehicle crashes]],""),"")="x","✓",IF(_xlfn.XLOOKUP($C51,Table1[Proven Safety Countermeasure],_xlfn.XLOOKUP('Overall Table'!Z$1,Table1[[#Headers],[Bike Crashes, intersection turning conflicts]:[Speeding related vehicle crashes]],Table1[[Bike Crashes, intersection turning conflicts]:[Speeding related vehicle crashes]],""),"")="o","O",""))</f>
        <v>✓</v>
      </c>
      <c r="AA51" s="31" t="str" cm="1">
        <f t="array" ref="AA51">IF(_xlfn.XLOOKUP($C51,Table1[[Countermeasure]:[Countermeasure]],_xlfn.XLOOKUP('Overall Table'!AA$1,Table1[[#Headers],[Bike Crashes, intersection turning conflicts]:[Speeding related vehicle crashes]],Table1[[Bike Crashes, intersection turning conflicts]:[Speeding related vehicle crashes]],""),"")="x","✓",IF(_xlfn.XLOOKUP($C51,Table1[MnDOT District Roadway Safety "Big Book of Ideas"],_xlfn.XLOOKUP('Overall Table'!AA$1,Table1[[#Headers],[Bike Crashes, intersection turning conflicts]:[Speeding related vehicle crashes]],Table1[[Bike Crashes, intersection turning conflicts]:[Speeding related vehicle crashes]],""),"")="o","O",""))</f>
        <v>✓</v>
      </c>
      <c r="AB51" s="31" t="str" cm="1">
        <f t="array" ref="AB51">IF(_xlfn.XLOOKUP($C51,Table1[[Countermeasure]:[Countermeasure]],_xlfn.XLOOKUP('Overall Table'!AB$1,Table1[[#Headers],[Bike Crashes, intersection turning conflicts]:[Speeding related vehicle crashes]],Table1[[Bike Crashes, intersection turning conflicts]:[Speeding related vehicle crashes]],""),"")="x","✓",IF(_xlfn.XLOOKUP($C51,Table1[NCHRP 926],_xlfn.XLOOKUP('Overall Table'!AB$1,Table1[[#Headers],[Bike Crashes, intersection turning conflicts]:[Speeding related vehicle crashes]],Table1[[Bike Crashes, intersection turning conflicts]:[Speeding related vehicle crashes]],""),"")="o","O",""))</f>
        <v>✓</v>
      </c>
      <c r="AC51" s="62" t="s">
        <v>48</v>
      </c>
      <c r="AD51" s="62" t="s">
        <v>48</v>
      </c>
    </row>
    <row r="52" spans="1:30" ht="15" thickBot="1" x14ac:dyDescent="0.4">
      <c r="A52" s="32" t="str">
        <f>_xlfn.XLOOKUP(C52,Table1[Countermeasure],Table1[Category (FHWA)],"")</f>
        <v>Intersections</v>
      </c>
      <c r="B52" s="36" t="str">
        <f>_xlfn.XLOOKUP(A52,'Data Validation'!$A$2:$A$6,'Data Validation'!$C$2:$C$6,"")&amp;"."&amp;COUNTIF('Overall Table'!$A$2:A52,'Overall Table'!A52)</f>
        <v>IN.17</v>
      </c>
      <c r="C52" s="33" t="str">
        <f>'CM attributes, relevance'!A52</f>
        <v>All way stop control</v>
      </c>
      <c r="D52" s="34"/>
      <c r="E52" s="35" t="str">
        <f>_xlfn.XLOOKUP(C52,'CMF source, cost, effectiveness'!$A$2:$A$101,'CMF source, cost, effectiveness'!$K$2:$K$101,"")</f>
        <v>Low</v>
      </c>
      <c r="F52" s="35" t="str">
        <f>_xlfn.XLOOKUP(C52,'CMF source, cost, effectiveness'!$A$2:$A$66,'CMF source, cost, effectiveness'!$M$2:$M$66,"")</f>
        <v>Less than 1 year</v>
      </c>
      <c r="G52" s="35" t="str">
        <f>_xlfn.XLOOKUP(C52,'CMF source, cost, effectiveness'!$A$2:$A$101,'CMF source, cost, effectiveness'!$L$2:$L$101,"")</f>
        <v>Documented</v>
      </c>
      <c r="H52" s="50" t="str">
        <f>_xlfn.XLOOKUP(C52,Table1[Countermeasure],Table1[Safe System Category],"")</f>
        <v>Safer Roads</v>
      </c>
      <c r="I52" s="62" t="s">
        <v>48</v>
      </c>
      <c r="J52" s="62" t="s">
        <v>48</v>
      </c>
      <c r="K52" s="1" t="str">
        <f>IF(_xlfn.XLOOKUP($C52,Table1[Countermeasure],Table1[Manage Conflicts in Time])="x","✓","")</f>
        <v>✓</v>
      </c>
      <c r="L52" s="62" t="s">
        <v>48</v>
      </c>
      <c r="M52" s="23" t="str">
        <f>IF(OR(_xlfn.XLOOKUP($C52,Table1[Countermeasure],Table1[Signalized Intersection KSI (equity)])="x",_xlfn.XLOOKUP($C52,Table1[Countermeasure],Table1[Bike Crashes, No facility, midblock (equity)])="x",_xlfn.XLOOKUP($C52,Table1[Countermeasure],Table1[Local Intersection, Injury (equity)])="x",_xlfn.XLOOKUP($C52,Table1[Countermeasure],Table1[Posted Speed 40+ mph (equity)])="x"),"✓","")</f>
        <v>✓</v>
      </c>
      <c r="N52" s="2" t="str">
        <f>IF(NOT(ISERROR(SEARCH("CMF",_xlfn.XLOOKUP($C52,'CMF source, cost, effectiveness'!$A$2:$A$62,'CMF source, cost, effectiveness'!$G$2:$G$62)))),_xlfn.XLOOKUP($C52,'CMF source, cost, effectiveness'!$A$2:$A$62,'CMF source, cost, effectiveness'!$G$2:$G$62),"")</f>
        <v>CMF 3127</v>
      </c>
      <c r="O52" s="62" t="s">
        <v>48</v>
      </c>
      <c r="P52" s="62" t="s">
        <v>48</v>
      </c>
      <c r="Q52" s="62" t="s">
        <v>48</v>
      </c>
      <c r="R52" s="62" t="s">
        <v>48</v>
      </c>
      <c r="S52" s="30" t="str" cm="1">
        <f t="array" ref="S52">IF(_xlfn.XLOOKUP($C52,Table1[[Countermeasure]:[Countermeasure]],_xlfn.XLOOKUP('Overall Table'!S$1,Table1[[#Headers],[Bike Crashes, intersection turning conflicts]:[Speeding related vehicle crashes]],Table1[[Bike Crashes, intersection turning conflicts]:[Speeding related vehicle crashes]],""),"")="x","✓",IF(_xlfn.XLOOKUP($C52,Table1[Countermeasure],_xlfn.XLOOKUP('Overall Table'!S$1,Table1[[#Headers],[Bike Crashes, intersection turning conflicts]:[Speeding related vehicle crashes]],Table1[[Bike Crashes, intersection turning conflicts]:[Speeding related vehicle crashes]],""),"")="o","O",""))</f>
        <v>✓</v>
      </c>
      <c r="T52" s="62" t="s">
        <v>48</v>
      </c>
      <c r="U52" s="62" t="s">
        <v>48</v>
      </c>
      <c r="V52" s="31" t="str" cm="1">
        <f t="array" ref="V52">IF(_xlfn.XLOOKUP($C52,Table1[[Countermeasure]:[Countermeasure]],_xlfn.XLOOKUP('Overall Table'!V$1,Table1[[#Headers],[Bike Crashes, intersection turning conflicts]:[Speeding related vehicle crashes]],Table1[[Bike Crashes, intersection turning conflicts]:[Speeding related vehicle crashes]],""),"")="x","✓",IF(_xlfn.XLOOKUP($C52,Table1[Manage Conflicts in Time],_xlfn.XLOOKUP('Overall Table'!V$1,Table1[[#Headers],[Bike Crashes, intersection turning conflicts]:[Speeding related vehicle crashes]],Table1[[Bike Crashes, intersection turning conflicts]:[Speeding related vehicle crashes]],""),"")="o","O",""))</f>
        <v>✓</v>
      </c>
      <c r="W52" s="62" t="s">
        <v>48</v>
      </c>
      <c r="X52" s="31" t="str" cm="1">
        <f t="array" ref="X52">IF(_xlfn.XLOOKUP($C52,Table1[[Countermeasure]:[Countermeasure]],_xlfn.XLOOKUP('Overall Table'!X$1,Table1[[#Headers],[Bike Crashes, intersection turning conflicts]:[Speeding related vehicle crashes]],Table1[[Bike Crashes, intersection turning conflicts]:[Speeding related vehicle crashes]],""),"")="x","✓",IF(_xlfn.XLOOKUP($C52,Table1[FHWA helper],_xlfn.XLOOKUP('Overall Table'!X$1,Table1[[#Headers],[Bike Crashes, intersection turning conflicts]:[Speeding related vehicle crashes]],Table1[[Bike Crashes, intersection turning conflicts]:[Speeding related vehicle crashes]],""),"")="o","O",""))</f>
        <v>✓</v>
      </c>
      <c r="Y52" s="31" t="str" cm="1">
        <f t="array" ref="Y52">IF(_xlfn.XLOOKUP($C52,Table1[[Countermeasure]:[Countermeasure]],_xlfn.XLOOKUP('Overall Table'!Y$1,Table1[[#Headers],[Bike Crashes, intersection turning conflicts]:[Speeding related vehicle crashes]],Table1[[Bike Crashes, intersection turning conflicts]:[Speeding related vehicle crashes]],""),"")="x","✓",IF(_xlfn.XLOOKUP($C52,Table1[Category (FHWA)],_xlfn.XLOOKUP('Overall Table'!Y$1,Table1[[#Headers],[Bike Crashes, intersection turning conflicts]:[Speeding related vehicle crashes]],Table1[[Bike Crashes, intersection turning conflicts]:[Speeding related vehicle crashes]],""),"")="o","O",""))</f>
        <v>✓</v>
      </c>
      <c r="Z52" s="31" t="str" cm="1">
        <f t="array" ref="Z52">IF(_xlfn.XLOOKUP($C52,Table1[[Countermeasure]:[Countermeasure]],_xlfn.XLOOKUP('Overall Table'!Z$1,Table1[[#Headers],[Bike Crashes, intersection turning conflicts]:[Speeding related vehicle crashes]],Table1[[Bike Crashes, intersection turning conflicts]:[Speeding related vehicle crashes]],""),"")="x","✓",IF(_xlfn.XLOOKUP($C52,Table1[Proven Safety Countermeasure],_xlfn.XLOOKUP('Overall Table'!Z$1,Table1[[#Headers],[Bike Crashes, intersection turning conflicts]:[Speeding related vehicle crashes]],Table1[[Bike Crashes, intersection turning conflicts]:[Speeding related vehicle crashes]],""),"")="o","O",""))</f>
        <v>✓</v>
      </c>
      <c r="AA52" s="31" t="str" cm="1">
        <f t="array" ref="AA52">IF(_xlfn.XLOOKUP($C52,Table1[[Countermeasure]:[Countermeasure]],_xlfn.XLOOKUP('Overall Table'!AA$1,Table1[[#Headers],[Bike Crashes, intersection turning conflicts]:[Speeding related vehicle crashes]],Table1[[Bike Crashes, intersection turning conflicts]:[Speeding related vehicle crashes]],""),"")="x","✓",IF(_xlfn.XLOOKUP($C52,Table1[MnDOT District Roadway Safety "Big Book of Ideas"],_xlfn.XLOOKUP('Overall Table'!AA$1,Table1[[#Headers],[Bike Crashes, intersection turning conflicts]:[Speeding related vehicle crashes]],Table1[[Bike Crashes, intersection turning conflicts]:[Speeding related vehicle crashes]],""),"")="o","O",""))</f>
        <v>✓</v>
      </c>
      <c r="AB52" s="62" t="s">
        <v>48</v>
      </c>
      <c r="AC52" s="62" t="s">
        <v>48</v>
      </c>
      <c r="AD52" s="62" t="s">
        <v>48</v>
      </c>
    </row>
    <row r="53" spans="1:30" ht="15" thickBot="1" x14ac:dyDescent="0.4">
      <c r="A53" s="32" t="str">
        <f>_xlfn.XLOOKUP(C53,Table1[Countermeasure],Table1[Category (FHWA)],"")</f>
        <v>Intersections</v>
      </c>
      <c r="B53" s="36" t="str">
        <f>_xlfn.XLOOKUP(A53,'Data Validation'!$A$2:$A$6,'Data Validation'!$C$2:$C$6,"")&amp;"."&amp;COUNTIF('Overall Table'!$A$2:A53,'Overall Table'!A53)</f>
        <v>IN.18</v>
      </c>
      <c r="C53" s="33" t="str">
        <f>'CM attributes, relevance'!A53</f>
        <v>Install traffic signal</v>
      </c>
      <c r="D53" s="34"/>
      <c r="E53" s="35" t="str">
        <f>_xlfn.XLOOKUP(C53,'CMF source, cost, effectiveness'!$A$2:$A$101,'CMF source, cost, effectiveness'!$K$2:$K$101,"")</f>
        <v>High</v>
      </c>
      <c r="F53" s="35" t="str">
        <f>_xlfn.XLOOKUP(C53,'CMF source, cost, effectiveness'!$A$2:$A$66,'CMF source, cost, effectiveness'!$M$2:$M$66,"")</f>
        <v>Less than 1 year</v>
      </c>
      <c r="G53" s="35" t="str">
        <f>_xlfn.XLOOKUP(C53,'CMF source, cost, effectiveness'!$A$2:$A$101,'CMF source, cost, effectiveness'!$L$2:$L$101,"")</f>
        <v>Documented</v>
      </c>
      <c r="H53" s="50" t="str">
        <f>_xlfn.XLOOKUP(C53,Table1[Countermeasure],Table1[Safe System Category],"")</f>
        <v>Safer Roads</v>
      </c>
      <c r="I53" s="62" t="s">
        <v>48</v>
      </c>
      <c r="J53" s="62" t="s">
        <v>48</v>
      </c>
      <c r="K53" s="1" t="str">
        <f>IF(_xlfn.XLOOKUP($C53,Table1[Countermeasure],Table1[Manage Conflicts in Time])="x","✓","")</f>
        <v>✓</v>
      </c>
      <c r="L53" s="62" t="s">
        <v>48</v>
      </c>
      <c r="M53" s="23" t="str">
        <f>IF(OR(_xlfn.XLOOKUP($C53,Table1[Countermeasure],Table1[Signalized Intersection KSI (equity)])="x",_xlfn.XLOOKUP($C53,Table1[Countermeasure],Table1[Bike Crashes, No facility, midblock (equity)])="x",_xlfn.XLOOKUP($C53,Table1[Countermeasure],Table1[Local Intersection, Injury (equity)])="x",_xlfn.XLOOKUP($C53,Table1[Countermeasure],Table1[Posted Speed 40+ mph (equity)])="x"),"✓","")</f>
        <v>✓</v>
      </c>
      <c r="N53" s="2" t="str">
        <f>IF(NOT(ISERROR(SEARCH("CMF",_xlfn.XLOOKUP($C53,'CMF source, cost, effectiveness'!$A$2:$A$62,'CMF source, cost, effectiveness'!$G$2:$G$62)))),_xlfn.XLOOKUP($C53,'CMF source, cost, effectiveness'!$A$2:$A$62,'CMF source, cost, effectiveness'!$G$2:$G$62),"")</f>
        <v>CMF 325</v>
      </c>
      <c r="O53" s="62" t="s">
        <v>48</v>
      </c>
      <c r="P53" s="62" t="s">
        <v>48</v>
      </c>
      <c r="Q53" s="62" t="s">
        <v>48</v>
      </c>
      <c r="R53" s="2" t="str">
        <f>IF(_xlfn.XLOOKUP($C53,Table1[Countermeasure],Table1[NCHRP 926])="x","NCHRP 926","")</f>
        <v>NCHRP 926</v>
      </c>
      <c r="S53" s="30" t="str" cm="1">
        <f t="array" ref="S53">IF(_xlfn.XLOOKUP($C53,Table1[[Countermeasure]:[Countermeasure]],_xlfn.XLOOKUP('Overall Table'!S$1,Table1[[#Headers],[Bike Crashes, intersection turning conflicts]:[Speeding related vehicle crashes]],Table1[[Bike Crashes, intersection turning conflicts]:[Speeding related vehicle crashes]],""),"")="x","✓",IF(_xlfn.XLOOKUP($C53,Table1[Countermeasure],_xlfn.XLOOKUP('Overall Table'!S$1,Table1[[#Headers],[Bike Crashes, intersection turning conflicts]:[Speeding related vehicle crashes]],Table1[[Bike Crashes, intersection turning conflicts]:[Speeding related vehicle crashes]],""),"")="o","O",""))</f>
        <v>✓</v>
      </c>
      <c r="T53" s="62" t="s">
        <v>48</v>
      </c>
      <c r="U53" s="62" t="s">
        <v>48</v>
      </c>
      <c r="V53" s="31" t="str" cm="1">
        <f t="array" ref="V53">IF(_xlfn.XLOOKUP($C53,Table1[[Countermeasure]:[Countermeasure]],_xlfn.XLOOKUP('Overall Table'!V$1,Table1[[#Headers],[Bike Crashes, intersection turning conflicts]:[Speeding related vehicle crashes]],Table1[[Bike Crashes, intersection turning conflicts]:[Speeding related vehicle crashes]],""),"")="x","✓",IF(_xlfn.XLOOKUP($C53,Table1[Manage Conflicts in Time],_xlfn.XLOOKUP('Overall Table'!V$1,Table1[[#Headers],[Bike Crashes, intersection turning conflicts]:[Speeding related vehicle crashes]],Table1[[Bike Crashes, intersection turning conflicts]:[Speeding related vehicle crashes]],""),"")="o","O",""))</f>
        <v>✓</v>
      </c>
      <c r="W53" s="62" t="s">
        <v>48</v>
      </c>
      <c r="X53" s="31" t="str" cm="1">
        <f t="array" ref="X53">IF(_xlfn.XLOOKUP($C53,Table1[[Countermeasure]:[Countermeasure]],_xlfn.XLOOKUP('Overall Table'!X$1,Table1[[#Headers],[Bike Crashes, intersection turning conflicts]:[Speeding related vehicle crashes]],Table1[[Bike Crashes, intersection turning conflicts]:[Speeding related vehicle crashes]],""),"")="x","✓",IF(_xlfn.XLOOKUP($C53,Table1[FHWA helper],_xlfn.XLOOKUP('Overall Table'!X$1,Table1[[#Headers],[Bike Crashes, intersection turning conflicts]:[Speeding related vehicle crashes]],Table1[[Bike Crashes, intersection turning conflicts]:[Speeding related vehicle crashes]],""),"")="o","O",""))</f>
        <v>✓</v>
      </c>
      <c r="Y53" s="31" t="str" cm="1">
        <f t="array" ref="Y53">IF(_xlfn.XLOOKUP($C53,Table1[[Countermeasure]:[Countermeasure]],_xlfn.XLOOKUP('Overall Table'!Y$1,Table1[[#Headers],[Bike Crashes, intersection turning conflicts]:[Speeding related vehicle crashes]],Table1[[Bike Crashes, intersection turning conflicts]:[Speeding related vehicle crashes]],""),"")="x","✓",IF(_xlfn.XLOOKUP($C53,Table1[Category (FHWA)],_xlfn.XLOOKUP('Overall Table'!Y$1,Table1[[#Headers],[Bike Crashes, intersection turning conflicts]:[Speeding related vehicle crashes]],Table1[[Bike Crashes, intersection turning conflicts]:[Speeding related vehicle crashes]],""),"")="o","O",""))</f>
        <v>✓</v>
      </c>
      <c r="Z53" s="31" t="str" cm="1">
        <f t="array" ref="Z53">IF(_xlfn.XLOOKUP($C53,Table1[[Countermeasure]:[Countermeasure]],_xlfn.XLOOKUP('Overall Table'!Z$1,Table1[[#Headers],[Bike Crashes, intersection turning conflicts]:[Speeding related vehicle crashes]],Table1[[Bike Crashes, intersection turning conflicts]:[Speeding related vehicle crashes]],""),"")="x","✓",IF(_xlfn.XLOOKUP($C53,Table1[Proven Safety Countermeasure],_xlfn.XLOOKUP('Overall Table'!Z$1,Table1[[#Headers],[Bike Crashes, intersection turning conflicts]:[Speeding related vehicle crashes]],Table1[[Bike Crashes, intersection turning conflicts]:[Speeding related vehicle crashes]],""),"")="o","O",""))</f>
        <v>✓</v>
      </c>
      <c r="AA53" s="31" t="str" cm="1">
        <f t="array" ref="AA53">IF(_xlfn.XLOOKUP($C53,Table1[[Countermeasure]:[Countermeasure]],_xlfn.XLOOKUP('Overall Table'!AA$1,Table1[[#Headers],[Bike Crashes, intersection turning conflicts]:[Speeding related vehicle crashes]],Table1[[Bike Crashes, intersection turning conflicts]:[Speeding related vehicle crashes]],""),"")="x","✓",IF(_xlfn.XLOOKUP($C53,Table1[MnDOT District Roadway Safety "Big Book of Ideas"],_xlfn.XLOOKUP('Overall Table'!AA$1,Table1[[#Headers],[Bike Crashes, intersection turning conflicts]:[Speeding related vehicle crashes]],Table1[[Bike Crashes, intersection turning conflicts]:[Speeding related vehicle crashes]],""),"")="o","O",""))</f>
        <v>✓</v>
      </c>
      <c r="AB53" s="31" t="str" cm="1">
        <f t="array" ref="AB53">IF(_xlfn.XLOOKUP($C53,Table1[[Countermeasure]:[Countermeasure]],_xlfn.XLOOKUP('Overall Table'!AB$1,Table1[[#Headers],[Bike Crashes, intersection turning conflicts]:[Speeding related vehicle crashes]],Table1[[Bike Crashes, intersection turning conflicts]:[Speeding related vehicle crashes]],""),"")="x","✓",IF(_xlfn.XLOOKUP($C53,Table1[NCHRP 926],_xlfn.XLOOKUP('Overall Table'!AB$1,Table1[[#Headers],[Bike Crashes, intersection turning conflicts]:[Speeding related vehicle crashes]],Table1[[Bike Crashes, intersection turning conflicts]:[Speeding related vehicle crashes]],""),"")="o","O",""))</f>
        <v>✓</v>
      </c>
      <c r="AC53" s="62" t="s">
        <v>48</v>
      </c>
      <c r="AD53" s="62" t="s">
        <v>48</v>
      </c>
    </row>
    <row r="54" spans="1:30" ht="15" thickBot="1" x14ac:dyDescent="0.4">
      <c r="A54" s="32" t="str">
        <f>_xlfn.XLOOKUP(C54,Table1[Countermeasure],Table1[Category (FHWA)],"")</f>
        <v>Intersections</v>
      </c>
      <c r="B54" s="36" t="str">
        <f>_xlfn.XLOOKUP(A54,'Data Validation'!$A$2:$A$6,'Data Validation'!$C$2:$C$6,"")&amp;"."&amp;COUNTIF('Overall Table'!$A$2:A54,'Overall Table'!A54)</f>
        <v>IN.19</v>
      </c>
      <c r="C54" s="33" t="str">
        <f>'CM attributes, relevance'!A54</f>
        <v>Adaptive signal control</v>
      </c>
      <c r="D54" s="34"/>
      <c r="E54" s="35" t="str">
        <f>_xlfn.XLOOKUP(C54,'CMF source, cost, effectiveness'!$A$2:$A$101,'CMF source, cost, effectiveness'!$K$2:$K$101,"")</f>
        <v>Low</v>
      </c>
      <c r="F54" s="35" t="str">
        <f>_xlfn.XLOOKUP(C54,'CMF source, cost, effectiveness'!$A$2:$A$66,'CMF source, cost, effectiveness'!$M$2:$M$66,"")</f>
        <v>1 - 2 years</v>
      </c>
      <c r="G54" s="35" t="str">
        <f>_xlfn.XLOOKUP(C54,'CMF source, cost, effectiveness'!$A$2:$A$101,'CMF source, cost, effectiveness'!$L$2:$L$101,"")</f>
        <v>Documented</v>
      </c>
      <c r="H54" s="50" t="str">
        <f>_xlfn.XLOOKUP(C54,Table1[Countermeasure],Table1[Safe System Category],"")</f>
        <v>Safer Roads</v>
      </c>
      <c r="I54" s="62" t="s">
        <v>48</v>
      </c>
      <c r="J54" s="62" t="s">
        <v>48</v>
      </c>
      <c r="K54" s="1" t="str">
        <f>IF(_xlfn.XLOOKUP($C54,Table1[Countermeasure],Table1[Manage Conflicts in Time])="x","✓","")</f>
        <v>✓</v>
      </c>
      <c r="L54" s="62" t="s">
        <v>48</v>
      </c>
      <c r="M54" s="23" t="str">
        <f>IF(OR(_xlfn.XLOOKUP($C54,Table1[Countermeasure],Table1[Signalized Intersection KSI (equity)])="x",_xlfn.XLOOKUP($C54,Table1[Countermeasure],Table1[Bike Crashes, No facility, midblock (equity)])="x",_xlfn.XLOOKUP($C54,Table1[Countermeasure],Table1[Local Intersection, Injury (equity)])="x",_xlfn.XLOOKUP($C54,Table1[Countermeasure],Table1[Posted Speed 40+ mph (equity)])="x"),"✓","")</f>
        <v>✓</v>
      </c>
      <c r="N54" s="2" t="str">
        <f>IF(NOT(ISERROR(SEARCH("CMF",_xlfn.XLOOKUP($C54,'CMF source, cost, effectiveness'!$A$2:$A$62,'CMF source, cost, effectiveness'!$G$2:$G$62)))),_xlfn.XLOOKUP($C54,'CMF source, cost, effectiveness'!$A$2:$A$62,'CMF source, cost, effectiveness'!$G$2:$G$62),"")</f>
        <v>CMF 11238</v>
      </c>
      <c r="O54" s="62" t="s">
        <v>48</v>
      </c>
      <c r="P54" s="62" t="s">
        <v>48</v>
      </c>
      <c r="Q54" s="62" t="s">
        <v>48</v>
      </c>
      <c r="R54" s="62" t="s">
        <v>48</v>
      </c>
      <c r="S54" s="62" t="s">
        <v>48</v>
      </c>
      <c r="T54" s="31" t="str" cm="1">
        <f t="array" ref="T54">IF(_xlfn.XLOOKUP($C54,Table1[[Countermeasure]:[Countermeasure]],_xlfn.XLOOKUP('Overall Table'!T$1,Table1[[#Headers],[Bike Crashes, intersection turning conflicts]:[Speeding related vehicle crashes]],Table1[[Bike Crashes, intersection turning conflicts]:[Speeding related vehicle crashes]],""),"")="x","✓",IF(_xlfn.XLOOKUP($C54,Table1[Remove Severe Conflicts],_xlfn.XLOOKUP('Overall Table'!T$1,Table1[[#Headers],[Bike Crashes, intersection turning conflicts]:[Speeding related vehicle crashes]],Table1[[Bike Crashes, intersection turning conflicts]:[Speeding related vehicle crashes]],""),"")="o","O",""))</f>
        <v>✓</v>
      </c>
      <c r="U54" s="62" t="s">
        <v>48</v>
      </c>
      <c r="V54" s="31" t="str" cm="1">
        <f t="array" ref="V54">IF(_xlfn.XLOOKUP($C54,Table1[[Countermeasure]:[Countermeasure]],_xlfn.XLOOKUP('Overall Table'!V$1,Table1[[#Headers],[Bike Crashes, intersection turning conflicts]:[Speeding related vehicle crashes]],Table1[[Bike Crashes, intersection turning conflicts]:[Speeding related vehicle crashes]],""),"")="x","✓",IF(_xlfn.XLOOKUP($C54,Table1[Manage Conflicts in Time],_xlfn.XLOOKUP('Overall Table'!V$1,Table1[[#Headers],[Bike Crashes, intersection turning conflicts]:[Speeding related vehicle crashes]],Table1[[Bike Crashes, intersection turning conflicts]:[Speeding related vehicle crashes]],""),"")="o","O",""))</f>
        <v>✓</v>
      </c>
      <c r="W54" s="62" t="s">
        <v>48</v>
      </c>
      <c r="X54" s="62" t="s">
        <v>48</v>
      </c>
      <c r="Y54" s="31" t="str" cm="1">
        <f t="array" ref="Y54">IF(_xlfn.XLOOKUP($C54,Table1[[Countermeasure]:[Countermeasure]],_xlfn.XLOOKUP('Overall Table'!Y$1,Table1[[#Headers],[Bike Crashes, intersection turning conflicts]:[Speeding related vehicle crashes]],Table1[[Bike Crashes, intersection turning conflicts]:[Speeding related vehicle crashes]],""),"")="x","✓",IF(_xlfn.XLOOKUP($C54,Table1[Category (FHWA)],_xlfn.XLOOKUP('Overall Table'!Y$1,Table1[[#Headers],[Bike Crashes, intersection turning conflicts]:[Speeding related vehicle crashes]],Table1[[Bike Crashes, intersection turning conflicts]:[Speeding related vehicle crashes]],""),"")="o","O",""))</f>
        <v>✓</v>
      </c>
      <c r="Z54" s="31" t="str" cm="1">
        <f t="array" ref="Z54">IF(_xlfn.XLOOKUP($C54,Table1[[Countermeasure]:[Countermeasure]],_xlfn.XLOOKUP('Overall Table'!Z$1,Table1[[#Headers],[Bike Crashes, intersection turning conflicts]:[Speeding related vehicle crashes]],Table1[[Bike Crashes, intersection turning conflicts]:[Speeding related vehicle crashes]],""),"")="x","✓",IF(_xlfn.XLOOKUP($C54,Table1[Proven Safety Countermeasure],_xlfn.XLOOKUP('Overall Table'!Z$1,Table1[[#Headers],[Bike Crashes, intersection turning conflicts]:[Speeding related vehicle crashes]],Table1[[Bike Crashes, intersection turning conflicts]:[Speeding related vehicle crashes]],""),"")="o","O",""))</f>
        <v>✓</v>
      </c>
      <c r="AA54" s="31" t="str" cm="1">
        <f t="array" ref="AA54">IF(_xlfn.XLOOKUP($C54,Table1[[Countermeasure]:[Countermeasure]],_xlfn.XLOOKUP('Overall Table'!AA$1,Table1[[#Headers],[Bike Crashes, intersection turning conflicts]:[Speeding related vehicle crashes]],Table1[[Bike Crashes, intersection turning conflicts]:[Speeding related vehicle crashes]],""),"")="x","✓",IF(_xlfn.XLOOKUP($C54,Table1[MnDOT District Roadway Safety "Big Book of Ideas"],_xlfn.XLOOKUP('Overall Table'!AA$1,Table1[[#Headers],[Bike Crashes, intersection turning conflicts]:[Speeding related vehicle crashes]],Table1[[Bike Crashes, intersection turning conflicts]:[Speeding related vehicle crashes]],""),"")="o","O",""))</f>
        <v>✓</v>
      </c>
      <c r="AB54" s="31" t="str" cm="1">
        <f t="array" ref="AB54">IF(_xlfn.XLOOKUP($C54,Table1[[Countermeasure]:[Countermeasure]],_xlfn.XLOOKUP('Overall Table'!AB$1,Table1[[#Headers],[Bike Crashes, intersection turning conflicts]:[Speeding related vehicle crashes]],Table1[[Bike Crashes, intersection turning conflicts]:[Speeding related vehicle crashes]],""),"")="x","✓",IF(_xlfn.XLOOKUP($C54,Table1[NCHRP 926],_xlfn.XLOOKUP('Overall Table'!AB$1,Table1[[#Headers],[Bike Crashes, intersection turning conflicts]:[Speeding related vehicle crashes]],Table1[[Bike Crashes, intersection turning conflicts]:[Speeding related vehicle crashes]],""),"")="o","O",""))</f>
        <v>✓</v>
      </c>
      <c r="AC54" s="31" t="str" cm="1">
        <f t="array" ref="AC54">IF(_xlfn.XLOOKUP($C54,Table1[[Countermeasure]:[Countermeasure]],_xlfn.XLOOKUP('Overall Table'!AC$1,Table1[[#Headers],[Bike Crashes, intersection turning conflicts]:[Speeding related vehicle crashes]],Table1[[Bike Crashes, intersection turning conflicts]:[Speeding related vehicle crashes]],""),"")="x","✓",IF(_xlfn.XLOOKUP($C54,Table1[NCHRP 1033],_xlfn.XLOOKUP('Overall Table'!AC$1,Table1[[#Headers],[Bike Crashes, intersection turning conflicts]:[Speeding related vehicle crashes]],Table1[[Bike Crashes, intersection turning conflicts]:[Speeding related vehicle crashes]],""),"")="o","O",""))</f>
        <v>✓</v>
      </c>
      <c r="AD54" s="62" t="s">
        <v>48</v>
      </c>
    </row>
    <row r="55" spans="1:30" ht="15" thickBot="1" x14ac:dyDescent="0.4">
      <c r="A55" s="32" t="str">
        <f>_xlfn.XLOOKUP(C55,Table1[Countermeasure],Table1[Category (FHWA)],"")</f>
        <v>Intersections</v>
      </c>
      <c r="B55" s="36" t="str">
        <f>_xlfn.XLOOKUP(A55,'Data Validation'!$A$2:$A$6,'Data Validation'!$C$2:$C$6,"")&amp;"."&amp;COUNTIF('Overall Table'!$A$2:A55,'Overall Table'!A55)</f>
        <v>IN.20</v>
      </c>
      <c r="C55" s="33" t="str">
        <f>'CM attributes, relevance'!A55</f>
        <v>Advanced Dilemma Zone</v>
      </c>
      <c r="D55" s="34"/>
      <c r="E55" s="35" t="str">
        <f>_xlfn.XLOOKUP(C55,'CMF source, cost, effectiveness'!$A$2:$A$101,'CMF source, cost, effectiveness'!$K$2:$K$101,"")</f>
        <v>Low</v>
      </c>
      <c r="F55" s="35" t="str">
        <f>_xlfn.XLOOKUP(C55,'CMF source, cost, effectiveness'!$A$2:$A$66,'CMF source, cost, effectiveness'!$M$2:$M$66,"")</f>
        <v>1 - 2 years</v>
      </c>
      <c r="G55" s="35" t="str">
        <f>_xlfn.XLOOKUP(C55,'CMF source, cost, effectiveness'!$A$2:$A$101,'CMF source, cost, effectiveness'!$L$2:$L$101,"")</f>
        <v>Documented</v>
      </c>
      <c r="H55" s="50" t="str">
        <f>_xlfn.XLOOKUP(C55,Table1[Countermeasure],Table1[Safe System Category],"")</f>
        <v>Safer Roads</v>
      </c>
      <c r="I55" s="62" t="s">
        <v>48</v>
      </c>
      <c r="J55" s="62" t="s">
        <v>48</v>
      </c>
      <c r="K55" s="1" t="str">
        <f>IF(_xlfn.XLOOKUP($C55,Table1[Countermeasure],Table1[Manage Conflicts in Time])="x","✓","")</f>
        <v>✓</v>
      </c>
      <c r="L55" s="62" t="s">
        <v>48</v>
      </c>
      <c r="M55" s="23" t="str">
        <f>IF(OR(_xlfn.XLOOKUP($C55,Table1[Countermeasure],Table1[Signalized Intersection KSI (equity)])="x",_xlfn.XLOOKUP($C55,Table1[Countermeasure],Table1[Bike Crashes, No facility, midblock (equity)])="x",_xlfn.XLOOKUP($C55,Table1[Countermeasure],Table1[Local Intersection, Injury (equity)])="x",_xlfn.XLOOKUP($C55,Table1[Countermeasure],Table1[Posted Speed 40+ mph (equity)])="x"),"✓","")</f>
        <v>✓</v>
      </c>
      <c r="N55" s="2" t="str">
        <f>IF(NOT(ISERROR(SEARCH("CMF",_xlfn.XLOOKUP($C55,'CMF source, cost, effectiveness'!$A$2:$A$62,'CMF source, cost, effectiveness'!$G$2:$G$62)))),_xlfn.XLOOKUP($C55,'CMF source, cost, effectiveness'!$A$2:$A$62,'CMF source, cost, effectiveness'!$G$2:$G$62),"")</f>
        <v>CMF 4854</v>
      </c>
      <c r="O55" s="62" t="s">
        <v>48</v>
      </c>
      <c r="P55" s="62" t="s">
        <v>48</v>
      </c>
      <c r="Q55" s="62" t="s">
        <v>48</v>
      </c>
      <c r="R55" s="62" t="s">
        <v>48</v>
      </c>
      <c r="S55" s="62" t="s">
        <v>48</v>
      </c>
      <c r="T55" s="31" t="str" cm="1">
        <f t="array" ref="T55">IF(_xlfn.XLOOKUP($C55,Table1[[Countermeasure]:[Countermeasure]],_xlfn.XLOOKUP('Overall Table'!T$1,Table1[[#Headers],[Bike Crashes, intersection turning conflicts]:[Speeding related vehicle crashes]],Table1[[Bike Crashes, intersection turning conflicts]:[Speeding related vehicle crashes]],""),"")="x","✓",IF(_xlfn.XLOOKUP($C55,Table1[Remove Severe Conflicts],_xlfn.XLOOKUP('Overall Table'!T$1,Table1[[#Headers],[Bike Crashes, intersection turning conflicts]:[Speeding related vehicle crashes]],Table1[[Bike Crashes, intersection turning conflicts]:[Speeding related vehicle crashes]],""),"")="o","O",""))</f>
        <v>✓</v>
      </c>
      <c r="U55" s="62" t="s">
        <v>48</v>
      </c>
      <c r="V55" s="31" t="str" cm="1">
        <f t="array" ref="V55">IF(_xlfn.XLOOKUP($C55,Table1[[Countermeasure]:[Countermeasure]],_xlfn.XLOOKUP('Overall Table'!V$1,Table1[[#Headers],[Bike Crashes, intersection turning conflicts]:[Speeding related vehicle crashes]],Table1[[Bike Crashes, intersection turning conflicts]:[Speeding related vehicle crashes]],""),"")="x","✓",IF(_xlfn.XLOOKUP($C55,Table1[Manage Conflicts in Time],_xlfn.XLOOKUP('Overall Table'!V$1,Table1[[#Headers],[Bike Crashes, intersection turning conflicts]:[Speeding related vehicle crashes]],Table1[[Bike Crashes, intersection turning conflicts]:[Speeding related vehicle crashes]],""),"")="o","O",""))</f>
        <v>✓</v>
      </c>
      <c r="W55" s="62" t="s">
        <v>48</v>
      </c>
      <c r="X55" s="62" t="s">
        <v>48</v>
      </c>
      <c r="Y55" s="31" t="str" cm="1">
        <f t="array" ref="Y55">IF(_xlfn.XLOOKUP($C55,Table1[[Countermeasure]:[Countermeasure]],_xlfn.XLOOKUP('Overall Table'!Y$1,Table1[[#Headers],[Bike Crashes, intersection turning conflicts]:[Speeding related vehicle crashes]],Table1[[Bike Crashes, intersection turning conflicts]:[Speeding related vehicle crashes]],""),"")="x","✓",IF(_xlfn.XLOOKUP($C55,Table1[Category (FHWA)],_xlfn.XLOOKUP('Overall Table'!Y$1,Table1[[#Headers],[Bike Crashes, intersection turning conflicts]:[Speeding related vehicle crashes]],Table1[[Bike Crashes, intersection turning conflicts]:[Speeding related vehicle crashes]],""),"")="o","O",""))</f>
        <v>✓</v>
      </c>
      <c r="Z55" s="31" t="str" cm="1">
        <f t="array" ref="Z55">IF(_xlfn.XLOOKUP($C55,Table1[[Countermeasure]:[Countermeasure]],_xlfn.XLOOKUP('Overall Table'!Z$1,Table1[[#Headers],[Bike Crashes, intersection turning conflicts]:[Speeding related vehicle crashes]],Table1[[Bike Crashes, intersection turning conflicts]:[Speeding related vehicle crashes]],""),"")="x","✓",IF(_xlfn.XLOOKUP($C55,Table1[Proven Safety Countermeasure],_xlfn.XLOOKUP('Overall Table'!Z$1,Table1[[#Headers],[Bike Crashes, intersection turning conflicts]:[Speeding related vehicle crashes]],Table1[[Bike Crashes, intersection turning conflicts]:[Speeding related vehicle crashes]],""),"")="o","O",""))</f>
        <v/>
      </c>
      <c r="AA55" s="31" t="str" cm="1">
        <f t="array" ref="AA55">IF(_xlfn.XLOOKUP($C55,Table1[[Countermeasure]:[Countermeasure]],_xlfn.XLOOKUP('Overall Table'!AA$1,Table1[[#Headers],[Bike Crashes, intersection turning conflicts]:[Speeding related vehicle crashes]],Table1[[Bike Crashes, intersection turning conflicts]:[Speeding related vehicle crashes]],""),"")="x","✓",IF(_xlfn.XLOOKUP($C55,Table1[MnDOT District Roadway Safety "Big Book of Ideas"],_xlfn.XLOOKUP('Overall Table'!AA$1,Table1[[#Headers],[Bike Crashes, intersection turning conflicts]:[Speeding related vehicle crashes]],Table1[[Bike Crashes, intersection turning conflicts]:[Speeding related vehicle crashes]],""),"")="o","O",""))</f>
        <v>✓</v>
      </c>
      <c r="AB55" s="31" t="str" cm="1">
        <f t="array" ref="AB55">IF(_xlfn.XLOOKUP($C55,Table1[[Countermeasure]:[Countermeasure]],_xlfn.XLOOKUP('Overall Table'!AB$1,Table1[[#Headers],[Bike Crashes, intersection turning conflicts]:[Speeding related vehicle crashes]],Table1[[Bike Crashes, intersection turning conflicts]:[Speeding related vehicle crashes]],""),"")="x","✓",IF(_xlfn.XLOOKUP($C55,Table1[NCHRP 926],_xlfn.XLOOKUP('Overall Table'!AB$1,Table1[[#Headers],[Bike Crashes, intersection turning conflicts]:[Speeding related vehicle crashes]],Table1[[Bike Crashes, intersection turning conflicts]:[Speeding related vehicle crashes]],""),"")="o","O",""))</f>
        <v>✓</v>
      </c>
      <c r="AC55" s="62" t="s">
        <v>48</v>
      </c>
      <c r="AD55" s="62" t="s">
        <v>48</v>
      </c>
    </row>
    <row r="56" spans="1:30" ht="15" thickBot="1" x14ac:dyDescent="0.4">
      <c r="A56" s="32" t="str">
        <f>_xlfn.XLOOKUP(C56,Table1[Countermeasure],Table1[Category (FHWA)],"")</f>
        <v>Intersections</v>
      </c>
      <c r="B56" s="36" t="str">
        <f>_xlfn.XLOOKUP(A56,'Data Validation'!$A$2:$A$6,'Data Validation'!$C$2:$C$6,"")&amp;"."&amp;COUNTIF('Overall Table'!$A$2:A56,'Overall Table'!A56)</f>
        <v>IN.21</v>
      </c>
      <c r="C56" s="33" t="str">
        <f>'CM attributes, relevance'!A56</f>
        <v>Flashing Yellow Arrow (FYA) signals</v>
      </c>
      <c r="D56" s="34"/>
      <c r="E56" s="35" t="str">
        <f>_xlfn.XLOOKUP(C56,'CMF source, cost, effectiveness'!$A$2:$A$101,'CMF source, cost, effectiveness'!$K$2:$K$101,"")</f>
        <v>Moderate</v>
      </c>
      <c r="F56" s="35" t="str">
        <f>_xlfn.XLOOKUP(C56,'CMF source, cost, effectiveness'!$A$2:$A$66,'CMF source, cost, effectiveness'!$M$2:$M$66,"")</f>
        <v>1 - 2 years</v>
      </c>
      <c r="G56" s="35" t="str">
        <f>_xlfn.XLOOKUP(C56,'CMF source, cost, effectiveness'!$A$2:$A$101,'CMF source, cost, effectiveness'!$L$2:$L$101,"")</f>
        <v>Documented</v>
      </c>
      <c r="H56" s="50" t="str">
        <f>_xlfn.XLOOKUP(C56,Table1[Countermeasure],Table1[Safe System Category],"")</f>
        <v>Safer Roads</v>
      </c>
      <c r="I56" s="62" t="s">
        <v>48</v>
      </c>
      <c r="J56" s="62" t="s">
        <v>48</v>
      </c>
      <c r="K56" s="1" t="str">
        <f>IF(_xlfn.XLOOKUP($C56,Table1[Countermeasure],Table1[Manage Conflicts in Time])="x","✓","")</f>
        <v>✓</v>
      </c>
      <c r="L56" s="62" t="s">
        <v>48</v>
      </c>
      <c r="M56" s="23" t="str">
        <f>IF(OR(_xlfn.XLOOKUP($C56,Table1[Countermeasure],Table1[Signalized Intersection KSI (equity)])="x",_xlfn.XLOOKUP($C56,Table1[Countermeasure],Table1[Bike Crashes, No facility, midblock (equity)])="x",_xlfn.XLOOKUP($C56,Table1[Countermeasure],Table1[Local Intersection, Injury (equity)])="x",_xlfn.XLOOKUP($C56,Table1[Countermeasure],Table1[Posted Speed 40+ mph (equity)])="x"),"✓","")</f>
        <v>✓</v>
      </c>
      <c r="N56" s="2" t="str">
        <f>IF(NOT(ISERROR(SEARCH("CMF",_xlfn.XLOOKUP($C56,'CMF source, cost, effectiveness'!$A$2:$A$62,'CMF source, cost, effectiveness'!$G$2:$G$62)))),_xlfn.XLOOKUP($C56,'CMF source, cost, effectiveness'!$A$2:$A$62,'CMF source, cost, effectiveness'!$G$2:$G$62),"")</f>
        <v>CMF 4175</v>
      </c>
      <c r="O56" s="62" t="s">
        <v>48</v>
      </c>
      <c r="P56" s="62" t="s">
        <v>48</v>
      </c>
      <c r="Q56" s="62" t="s">
        <v>48</v>
      </c>
      <c r="R56" s="62" t="s">
        <v>48</v>
      </c>
      <c r="S56" s="62" t="s">
        <v>48</v>
      </c>
      <c r="T56" s="31" t="str" cm="1">
        <f t="array" ref="T56">IF(_xlfn.XLOOKUP($C56,Table1[[Countermeasure]:[Countermeasure]],_xlfn.XLOOKUP('Overall Table'!T$1,Table1[[#Headers],[Bike Crashes, intersection turning conflicts]:[Speeding related vehicle crashes]],Table1[[Bike Crashes, intersection turning conflicts]:[Speeding related vehicle crashes]],""),"")="x","✓",IF(_xlfn.XLOOKUP($C56,Table1[Remove Severe Conflicts],_xlfn.XLOOKUP('Overall Table'!T$1,Table1[[#Headers],[Bike Crashes, intersection turning conflicts]:[Speeding related vehicle crashes]],Table1[[Bike Crashes, intersection turning conflicts]:[Speeding related vehicle crashes]],""),"")="o","O",""))</f>
        <v>✓</v>
      </c>
      <c r="U56" s="62" t="s">
        <v>48</v>
      </c>
      <c r="V56" s="31" t="str" cm="1">
        <f t="array" ref="V56">IF(_xlfn.XLOOKUP($C56,Table1[[Countermeasure]:[Countermeasure]],_xlfn.XLOOKUP('Overall Table'!V$1,Table1[[#Headers],[Bike Crashes, intersection turning conflicts]:[Speeding related vehicle crashes]],Table1[[Bike Crashes, intersection turning conflicts]:[Speeding related vehicle crashes]],""),"")="x","✓",IF(_xlfn.XLOOKUP($C56,Table1[Manage Conflicts in Time],_xlfn.XLOOKUP('Overall Table'!V$1,Table1[[#Headers],[Bike Crashes, intersection turning conflicts]:[Speeding related vehicle crashes]],Table1[[Bike Crashes, intersection turning conflicts]:[Speeding related vehicle crashes]],""),"")="o","O",""))</f>
        <v>✓</v>
      </c>
      <c r="W56" s="62" t="s">
        <v>48</v>
      </c>
      <c r="X56" s="62" t="s">
        <v>48</v>
      </c>
      <c r="Y56" s="31" t="str" cm="1">
        <f t="array" ref="Y56">IF(_xlfn.XLOOKUP($C56,Table1[[Countermeasure]:[Countermeasure]],_xlfn.XLOOKUP('Overall Table'!Y$1,Table1[[#Headers],[Bike Crashes, intersection turning conflicts]:[Speeding related vehicle crashes]],Table1[[Bike Crashes, intersection turning conflicts]:[Speeding related vehicle crashes]],""),"")="x","✓",IF(_xlfn.XLOOKUP($C56,Table1[Category (FHWA)],_xlfn.XLOOKUP('Overall Table'!Y$1,Table1[[#Headers],[Bike Crashes, intersection turning conflicts]:[Speeding related vehicle crashes]],Table1[[Bike Crashes, intersection turning conflicts]:[Speeding related vehicle crashes]],""),"")="o","O",""))</f>
        <v>✓</v>
      </c>
      <c r="Z56" s="31" t="str" cm="1">
        <f t="array" ref="Z56">IF(_xlfn.XLOOKUP($C56,Table1[[Countermeasure]:[Countermeasure]],_xlfn.XLOOKUP('Overall Table'!Z$1,Table1[[#Headers],[Bike Crashes, intersection turning conflicts]:[Speeding related vehicle crashes]],Table1[[Bike Crashes, intersection turning conflicts]:[Speeding related vehicle crashes]],""),"")="x","✓",IF(_xlfn.XLOOKUP($C56,Table1[Proven Safety Countermeasure],_xlfn.XLOOKUP('Overall Table'!Z$1,Table1[[#Headers],[Bike Crashes, intersection turning conflicts]:[Speeding related vehicle crashes]],Table1[[Bike Crashes, intersection turning conflicts]:[Speeding related vehicle crashes]],""),"")="o","O",""))</f>
        <v>✓</v>
      </c>
      <c r="AA56" s="31" t="str" cm="1">
        <f t="array" ref="AA56">IF(_xlfn.XLOOKUP($C56,Table1[[Countermeasure]:[Countermeasure]],_xlfn.XLOOKUP('Overall Table'!AA$1,Table1[[#Headers],[Bike Crashes, intersection turning conflicts]:[Speeding related vehicle crashes]],Table1[[Bike Crashes, intersection turning conflicts]:[Speeding related vehicle crashes]],""),"")="x","✓",IF(_xlfn.XLOOKUP($C56,Table1[MnDOT District Roadway Safety "Big Book of Ideas"],_xlfn.XLOOKUP('Overall Table'!AA$1,Table1[[#Headers],[Bike Crashes, intersection turning conflicts]:[Speeding related vehicle crashes]],Table1[[Bike Crashes, intersection turning conflicts]:[Speeding related vehicle crashes]],""),"")="o","O",""))</f>
        <v>✓</v>
      </c>
      <c r="AB56" s="31" t="str" cm="1">
        <f t="array" ref="AB56">IF(_xlfn.XLOOKUP($C56,Table1[[Countermeasure]:[Countermeasure]],_xlfn.XLOOKUP('Overall Table'!AB$1,Table1[[#Headers],[Bike Crashes, intersection turning conflicts]:[Speeding related vehicle crashes]],Table1[[Bike Crashes, intersection turning conflicts]:[Speeding related vehicle crashes]],""),"")="x","✓",IF(_xlfn.XLOOKUP($C56,Table1[NCHRP 926],_xlfn.XLOOKUP('Overall Table'!AB$1,Table1[[#Headers],[Bike Crashes, intersection turning conflicts]:[Speeding related vehicle crashes]],Table1[[Bike Crashes, intersection turning conflicts]:[Speeding related vehicle crashes]],""),"")="o","O",""))</f>
        <v>✓</v>
      </c>
      <c r="AC56" s="62" t="s">
        <v>48</v>
      </c>
      <c r="AD56" s="62" t="s">
        <v>48</v>
      </c>
    </row>
    <row r="57" spans="1:30" ht="25.5" thickBot="1" x14ac:dyDescent="0.4">
      <c r="A57" s="32" t="str">
        <f>_xlfn.XLOOKUP(C57,Table1[Countermeasure],Table1[Category (FHWA)],"")</f>
        <v>Intersections</v>
      </c>
      <c r="B57" s="36" t="str">
        <f>_xlfn.XLOOKUP(A57,'Data Validation'!$A$2:$A$6,'Data Validation'!$C$2:$C$6,"")&amp;"."&amp;COUNTIF('Overall Table'!$A$2:A57,'Overall Table'!A57)</f>
        <v>IN.22</v>
      </c>
      <c r="C57" s="33" t="str">
        <f>'CM attributes, relevance'!A57</f>
        <v>Appropriately Timed Yellow Change Intervals</v>
      </c>
      <c r="D57" s="34"/>
      <c r="E57" s="35" t="str">
        <f>_xlfn.XLOOKUP(C57,'CMF source, cost, effectiveness'!$A$2:$A$101,'CMF source, cost, effectiveness'!$K$2:$K$101,"")</f>
        <v>Low</v>
      </c>
      <c r="F57" s="35" t="str">
        <f>_xlfn.XLOOKUP(C57,'CMF source, cost, effectiveness'!$A$2:$A$66,'CMF source, cost, effectiveness'!$M$2:$M$66,"")</f>
        <v>Less than 1 year</v>
      </c>
      <c r="G57" s="35" t="str">
        <f>_xlfn.XLOOKUP(C57,'CMF source, cost, effectiveness'!$A$2:$A$101,'CMF source, cost, effectiveness'!$L$2:$L$101,"")</f>
        <v>Proven</v>
      </c>
      <c r="H57" s="50" t="str">
        <f>_xlfn.XLOOKUP(C57,Table1[Countermeasure],Table1[Safe System Category],"")</f>
        <v>Safer Roads</v>
      </c>
      <c r="I57" s="62" t="s">
        <v>48</v>
      </c>
      <c r="J57" s="62" t="s">
        <v>48</v>
      </c>
      <c r="K57" s="1" t="str">
        <f>IF(_xlfn.XLOOKUP($C57,Table1[Countermeasure],Table1[Manage Conflicts in Time])="x","✓","")</f>
        <v>✓</v>
      </c>
      <c r="L57" s="62" t="s">
        <v>48</v>
      </c>
      <c r="M57" s="23" t="str">
        <f>IF(OR(_xlfn.XLOOKUP($C57,Table1[Countermeasure],Table1[Signalized Intersection KSI (equity)])="x",_xlfn.XLOOKUP($C57,Table1[Countermeasure],Table1[Bike Crashes, No facility, midblock (equity)])="x",_xlfn.XLOOKUP($C57,Table1[Countermeasure],Table1[Local Intersection, Injury (equity)])="x",_xlfn.XLOOKUP($C57,Table1[Countermeasure],Table1[Posted Speed 40+ mph (equity)])="x"),"✓","")</f>
        <v>✓</v>
      </c>
      <c r="N57" s="2" t="str">
        <f>IF(NOT(ISERROR(SEARCH("CMF",_xlfn.XLOOKUP($C57,'CMF source, cost, effectiveness'!$A$2:$A$62,'CMF source, cost, effectiveness'!$G$2:$G$62)))),_xlfn.XLOOKUP($C57,'CMF source, cost, effectiveness'!$A$2:$A$62,'CMF source, cost, effectiveness'!$G$2:$G$62),"")</f>
        <v>CMF 4221</v>
      </c>
      <c r="O57" s="2" t="str">
        <f>IF(_xlfn.XLOOKUP($C57,Table1[Countermeasure],Table1[Proven Safety Countermeasure])="x","Proven Safety Countermeasures",IF(_xlfn.XLOOKUP($C57,Table1[Countermeasure],Table1[Proven Safety Countermeasure])="Toolbox of Pedestrian Countermeasures","Toolbox of Pedestrian Countermeasures",""))</f>
        <v>Proven Safety Countermeasures</v>
      </c>
      <c r="P57" s="62" t="s">
        <v>48</v>
      </c>
      <c r="Q57" s="62" t="s">
        <v>48</v>
      </c>
      <c r="R57" s="2" t="str">
        <f>IF(_xlfn.XLOOKUP($C57,Table1[Countermeasure],Table1[NCHRP 926])="x","NCHRP 926","")</f>
        <v>NCHRP 926</v>
      </c>
      <c r="S57" s="62" t="s">
        <v>48</v>
      </c>
      <c r="T57" s="31" t="str" cm="1">
        <f t="array" ref="T57">IF(_xlfn.XLOOKUP($C57,Table1[[Countermeasure]:[Countermeasure]],_xlfn.XLOOKUP('Overall Table'!T$1,Table1[[#Headers],[Bike Crashes, intersection turning conflicts]:[Speeding related vehicle crashes]],Table1[[Bike Crashes, intersection turning conflicts]:[Speeding related vehicle crashes]],""),"")="x","✓",IF(_xlfn.XLOOKUP($C57,Table1[Remove Severe Conflicts],_xlfn.XLOOKUP('Overall Table'!T$1,Table1[[#Headers],[Bike Crashes, intersection turning conflicts]:[Speeding related vehicle crashes]],Table1[[Bike Crashes, intersection turning conflicts]:[Speeding related vehicle crashes]],""),"")="o","O",""))</f>
        <v>✓</v>
      </c>
      <c r="U57" s="62" t="s">
        <v>48</v>
      </c>
      <c r="V57" s="31" t="str" cm="1">
        <f t="array" ref="V57">IF(_xlfn.XLOOKUP($C57,Table1[[Countermeasure]:[Countermeasure]],_xlfn.XLOOKUP('Overall Table'!V$1,Table1[[#Headers],[Bike Crashes, intersection turning conflicts]:[Speeding related vehicle crashes]],Table1[[Bike Crashes, intersection turning conflicts]:[Speeding related vehicle crashes]],""),"")="x","✓",IF(_xlfn.XLOOKUP($C57,Table1[Manage Conflicts in Time],_xlfn.XLOOKUP('Overall Table'!V$1,Table1[[#Headers],[Bike Crashes, intersection turning conflicts]:[Speeding related vehicle crashes]],Table1[[Bike Crashes, intersection turning conflicts]:[Speeding related vehicle crashes]],""),"")="o","O",""))</f>
        <v>✓</v>
      </c>
      <c r="W57" s="62" t="s">
        <v>48</v>
      </c>
      <c r="X57" s="62" t="s">
        <v>48</v>
      </c>
      <c r="Y57" s="31" t="str" cm="1">
        <f t="array" ref="Y57">IF(_xlfn.XLOOKUP($C57,Table1[[Countermeasure]:[Countermeasure]],_xlfn.XLOOKUP('Overall Table'!Y$1,Table1[[#Headers],[Bike Crashes, intersection turning conflicts]:[Speeding related vehicle crashes]],Table1[[Bike Crashes, intersection turning conflicts]:[Speeding related vehicle crashes]],""),"")="x","✓",IF(_xlfn.XLOOKUP($C57,Table1[Category (FHWA)],_xlfn.XLOOKUP('Overall Table'!Y$1,Table1[[#Headers],[Bike Crashes, intersection turning conflicts]:[Speeding related vehicle crashes]],Table1[[Bike Crashes, intersection turning conflicts]:[Speeding related vehicle crashes]],""),"")="o","O",""))</f>
        <v>✓</v>
      </c>
      <c r="Z57" s="31" t="str" cm="1">
        <f t="array" ref="Z57">IF(_xlfn.XLOOKUP($C57,Table1[[Countermeasure]:[Countermeasure]],_xlfn.XLOOKUP('Overall Table'!Z$1,Table1[[#Headers],[Bike Crashes, intersection turning conflicts]:[Speeding related vehicle crashes]],Table1[[Bike Crashes, intersection turning conflicts]:[Speeding related vehicle crashes]],""),"")="x","✓",IF(_xlfn.XLOOKUP($C57,Table1[Proven Safety Countermeasure],_xlfn.XLOOKUP('Overall Table'!Z$1,Table1[[#Headers],[Bike Crashes, intersection turning conflicts]:[Speeding related vehicle crashes]],Table1[[Bike Crashes, intersection turning conflicts]:[Speeding related vehicle crashes]],""),"")="o","O",""))</f>
        <v>✓</v>
      </c>
      <c r="AA57" s="31" t="str" cm="1">
        <f t="array" ref="AA57">IF(_xlfn.XLOOKUP($C57,Table1[[Countermeasure]:[Countermeasure]],_xlfn.XLOOKUP('Overall Table'!AA$1,Table1[[#Headers],[Bike Crashes, intersection turning conflicts]:[Speeding related vehicle crashes]],Table1[[Bike Crashes, intersection turning conflicts]:[Speeding related vehicle crashes]],""),"")="x","✓",IF(_xlfn.XLOOKUP($C57,Table1[MnDOT District Roadway Safety "Big Book of Ideas"],_xlfn.XLOOKUP('Overall Table'!AA$1,Table1[[#Headers],[Bike Crashes, intersection turning conflicts]:[Speeding related vehicle crashes]],Table1[[Bike Crashes, intersection turning conflicts]:[Speeding related vehicle crashes]],""),"")="o","O",""))</f>
        <v>✓</v>
      </c>
      <c r="AB57" s="31" t="str" cm="1">
        <f t="array" ref="AB57">IF(_xlfn.XLOOKUP($C57,Table1[[Countermeasure]:[Countermeasure]],_xlfn.XLOOKUP('Overall Table'!AB$1,Table1[[#Headers],[Bike Crashes, intersection turning conflicts]:[Speeding related vehicle crashes]],Table1[[Bike Crashes, intersection turning conflicts]:[Speeding related vehicle crashes]],""),"")="x","✓",IF(_xlfn.XLOOKUP($C57,Table1[NCHRP 926],_xlfn.XLOOKUP('Overall Table'!AB$1,Table1[[#Headers],[Bike Crashes, intersection turning conflicts]:[Speeding related vehicle crashes]],Table1[[Bike Crashes, intersection turning conflicts]:[Speeding related vehicle crashes]],""),"")="o","O",""))</f>
        <v>✓</v>
      </c>
      <c r="AC57" s="62" t="s">
        <v>48</v>
      </c>
      <c r="AD57" s="62" t="s">
        <v>48</v>
      </c>
    </row>
    <row r="58" spans="1:30" ht="25.5" thickBot="1" x14ac:dyDescent="0.4">
      <c r="A58" s="32" t="str">
        <f>_xlfn.XLOOKUP(C58,Table1[Countermeasure],Table1[Category (FHWA)],"")</f>
        <v>Intersections</v>
      </c>
      <c r="B58" s="36" t="str">
        <f>_xlfn.XLOOKUP(A58,'Data Validation'!$A$2:$A$6,'Data Validation'!$C$2:$C$6,"")&amp;"."&amp;COUNTIF('Overall Table'!$A$2:A58,'Overall Table'!A58)</f>
        <v>IN.23</v>
      </c>
      <c r="C58" s="33" t="str">
        <f>'CM attributes, relevance'!A58</f>
        <v>Reflective Signal backplates</v>
      </c>
      <c r="D58" s="34"/>
      <c r="E58" s="35" t="str">
        <f>_xlfn.XLOOKUP(C58,'CMF source, cost, effectiveness'!$A$2:$A$101,'CMF source, cost, effectiveness'!$K$2:$K$101,"")</f>
        <v>Low</v>
      </c>
      <c r="F58" s="35" t="str">
        <f>_xlfn.XLOOKUP(C58,'CMF source, cost, effectiveness'!$A$2:$A$66,'CMF source, cost, effectiveness'!$M$2:$M$66,"")</f>
        <v>Less than 1 year</v>
      </c>
      <c r="G58" s="35" t="str">
        <f>_xlfn.XLOOKUP(C58,'CMF source, cost, effectiveness'!$A$2:$A$101,'CMF source, cost, effectiveness'!$L$2:$L$101,"")</f>
        <v>Proven</v>
      </c>
      <c r="H58" s="50" t="str">
        <f>_xlfn.XLOOKUP(C58,Table1[Countermeasure],Table1[Safe System Category],"")</f>
        <v>Safer Roads</v>
      </c>
      <c r="I58" s="62" t="s">
        <v>48</v>
      </c>
      <c r="J58" s="62" t="s">
        <v>48</v>
      </c>
      <c r="K58" s="62" t="s">
        <v>48</v>
      </c>
      <c r="L58" s="1" t="str">
        <f>IF(_xlfn.XLOOKUP($C58,Table1[Countermeasure],Table1[Increase Attentiveness &amp; Awareness])="x","✓","")</f>
        <v>✓</v>
      </c>
      <c r="M58" s="23" t="str">
        <f>IF(OR(_xlfn.XLOOKUP($C58,Table1[Countermeasure],Table1[Signalized Intersection KSI (equity)])="x",_xlfn.XLOOKUP($C58,Table1[Countermeasure],Table1[Bike Crashes, No facility, midblock (equity)])="x",_xlfn.XLOOKUP($C58,Table1[Countermeasure],Table1[Local Intersection, Injury (equity)])="x",_xlfn.XLOOKUP($C58,Table1[Countermeasure],Table1[Posted Speed 40+ mph (equity)])="x"),"✓","")</f>
        <v>✓</v>
      </c>
      <c r="N58" s="2" t="str">
        <f>IF(NOT(ISERROR(SEARCH("CMF",_xlfn.XLOOKUP($C58,'CMF source, cost, effectiveness'!$A$2:$A$62,'CMF source, cost, effectiveness'!$G$2:$G$62)))),_xlfn.XLOOKUP($C58,'CMF source, cost, effectiveness'!$A$2:$A$62,'CMF source, cost, effectiveness'!$G$2:$G$62),"")</f>
        <v>CMF 1410</v>
      </c>
      <c r="O58" s="2" t="str">
        <f>IF(_xlfn.XLOOKUP($C58,Table1[Countermeasure],Table1[Proven Safety Countermeasure])="x","Proven Safety Countermeasures",IF(_xlfn.XLOOKUP($C58,Table1[Countermeasure],Table1[Proven Safety Countermeasure])="Toolbox of Pedestrian Countermeasures","Toolbox of Pedestrian Countermeasures",""))</f>
        <v>Proven Safety Countermeasures</v>
      </c>
      <c r="P58" s="62" t="s">
        <v>48</v>
      </c>
      <c r="Q58" s="62" t="s">
        <v>48</v>
      </c>
      <c r="R58" s="62" t="s">
        <v>48</v>
      </c>
      <c r="S58" s="62" t="s">
        <v>48</v>
      </c>
      <c r="T58" s="31" t="str" cm="1">
        <f t="array" ref="T58">IF(_xlfn.XLOOKUP($C58,Table1[[Countermeasure]:[Countermeasure]],_xlfn.XLOOKUP('Overall Table'!T$1,Table1[[#Headers],[Bike Crashes, intersection turning conflicts]:[Speeding related vehicle crashes]],Table1[[Bike Crashes, intersection turning conflicts]:[Speeding related vehicle crashes]],""),"")="x","✓",IF(_xlfn.XLOOKUP($C58,Table1[Remove Severe Conflicts],_xlfn.XLOOKUP('Overall Table'!T$1,Table1[[#Headers],[Bike Crashes, intersection turning conflicts]:[Speeding related vehicle crashes]],Table1[[Bike Crashes, intersection turning conflicts]:[Speeding related vehicle crashes]],""),"")="o","O",""))</f>
        <v>✓</v>
      </c>
      <c r="U58" s="62" t="s">
        <v>48</v>
      </c>
      <c r="V58" s="31" t="str" cm="1">
        <f t="array" ref="V58">IF(_xlfn.XLOOKUP($C58,Table1[[Countermeasure]:[Countermeasure]],_xlfn.XLOOKUP('Overall Table'!V$1,Table1[[#Headers],[Bike Crashes, intersection turning conflicts]:[Speeding related vehicle crashes]],Table1[[Bike Crashes, intersection turning conflicts]:[Speeding related vehicle crashes]],""),"")="x","✓",IF(_xlfn.XLOOKUP($C58,Table1[Manage Conflicts in Time],_xlfn.XLOOKUP('Overall Table'!V$1,Table1[[#Headers],[Bike Crashes, intersection turning conflicts]:[Speeding related vehicle crashes]],Table1[[Bike Crashes, intersection turning conflicts]:[Speeding related vehicle crashes]],""),"")="o","O",""))</f>
        <v>✓</v>
      </c>
      <c r="W58" s="62" t="s">
        <v>48</v>
      </c>
      <c r="X58" s="62" t="s">
        <v>48</v>
      </c>
      <c r="Y58" s="31" t="str" cm="1">
        <f t="array" ref="Y58">IF(_xlfn.XLOOKUP($C58,Table1[[Countermeasure]:[Countermeasure]],_xlfn.XLOOKUP('Overall Table'!Y$1,Table1[[#Headers],[Bike Crashes, intersection turning conflicts]:[Speeding related vehicle crashes]],Table1[[Bike Crashes, intersection turning conflicts]:[Speeding related vehicle crashes]],""),"")="x","✓",IF(_xlfn.XLOOKUP($C58,Table1[Category (FHWA)],_xlfn.XLOOKUP('Overall Table'!Y$1,Table1[[#Headers],[Bike Crashes, intersection turning conflicts]:[Speeding related vehicle crashes]],Table1[[Bike Crashes, intersection turning conflicts]:[Speeding related vehicle crashes]],""),"")="o","O",""))</f>
        <v>✓</v>
      </c>
      <c r="Z58" s="31" t="str" cm="1">
        <f t="array" ref="Z58">IF(_xlfn.XLOOKUP($C58,Table1[[Countermeasure]:[Countermeasure]],_xlfn.XLOOKUP('Overall Table'!Z$1,Table1[[#Headers],[Bike Crashes, intersection turning conflicts]:[Speeding related vehicle crashes]],Table1[[Bike Crashes, intersection turning conflicts]:[Speeding related vehicle crashes]],""),"")="x","✓",IF(_xlfn.XLOOKUP($C58,Table1[Proven Safety Countermeasure],_xlfn.XLOOKUP('Overall Table'!Z$1,Table1[[#Headers],[Bike Crashes, intersection turning conflicts]:[Speeding related vehicle crashes]],Table1[[Bike Crashes, intersection turning conflicts]:[Speeding related vehicle crashes]],""),"")="o","O",""))</f>
        <v>✓</v>
      </c>
      <c r="AA58" s="31" t="str" cm="1">
        <f t="array" ref="AA58">IF(_xlfn.XLOOKUP($C58,Table1[[Countermeasure]:[Countermeasure]],_xlfn.XLOOKUP('Overall Table'!AA$1,Table1[[#Headers],[Bike Crashes, intersection turning conflicts]:[Speeding related vehicle crashes]],Table1[[Bike Crashes, intersection turning conflicts]:[Speeding related vehicle crashes]],""),"")="x","✓",IF(_xlfn.XLOOKUP($C58,Table1[MnDOT District Roadway Safety "Big Book of Ideas"],_xlfn.XLOOKUP('Overall Table'!AA$1,Table1[[#Headers],[Bike Crashes, intersection turning conflicts]:[Speeding related vehicle crashes]],Table1[[Bike Crashes, intersection turning conflicts]:[Speeding related vehicle crashes]],""),"")="o","O",""))</f>
        <v>✓</v>
      </c>
      <c r="AB58" s="31" t="str" cm="1">
        <f t="array" ref="AB58">IF(_xlfn.XLOOKUP($C58,Table1[[Countermeasure]:[Countermeasure]],_xlfn.XLOOKUP('Overall Table'!AB$1,Table1[[#Headers],[Bike Crashes, intersection turning conflicts]:[Speeding related vehicle crashes]],Table1[[Bike Crashes, intersection turning conflicts]:[Speeding related vehicle crashes]],""),"")="x","✓",IF(_xlfn.XLOOKUP($C58,Table1[NCHRP 926],_xlfn.XLOOKUP('Overall Table'!AB$1,Table1[[#Headers],[Bike Crashes, intersection turning conflicts]:[Speeding related vehicle crashes]],Table1[[Bike Crashes, intersection turning conflicts]:[Speeding related vehicle crashes]],""),"")="o","O",""))</f>
        <v>✓</v>
      </c>
      <c r="AC58" s="62" t="s">
        <v>48</v>
      </c>
      <c r="AD58" s="62" t="s">
        <v>48</v>
      </c>
    </row>
    <row r="59" spans="1:30" ht="15" thickBot="1" x14ac:dyDescent="0.4">
      <c r="A59" s="32" t="str">
        <f>_xlfn.XLOOKUP(C59,Table1[Countermeasure],Table1[Category (FHWA)],"")</f>
        <v>Intersections</v>
      </c>
      <c r="B59" s="36" t="str">
        <f>_xlfn.XLOOKUP(A59,'Data Validation'!$A$2:$A$6,'Data Validation'!$C$2:$C$6,"")&amp;"."&amp;COUNTIF('Overall Table'!$A$2:A59,'Overall Table'!A59)</f>
        <v>IN.24</v>
      </c>
      <c r="C59" s="33" t="str">
        <f>'CM attributes, relevance'!A59</f>
        <v>Advance signal warning flashers</v>
      </c>
      <c r="D59" s="34"/>
      <c r="E59" s="35" t="str">
        <f>_xlfn.XLOOKUP(C59,'CMF source, cost, effectiveness'!$A$2:$A$101,'CMF source, cost, effectiveness'!$K$2:$K$101,"")</f>
        <v>Low</v>
      </c>
      <c r="F59" s="35" t="str">
        <f>_xlfn.XLOOKUP(C59,'CMF source, cost, effectiveness'!$A$2:$A$66,'CMF source, cost, effectiveness'!$M$2:$M$66,"")</f>
        <v>1 - 2 years</v>
      </c>
      <c r="G59" s="35" t="str">
        <f>_xlfn.XLOOKUP(C59,'CMF source, cost, effectiveness'!$A$2:$A$101,'CMF source, cost, effectiveness'!$L$2:$L$101,"")</f>
        <v>Documented</v>
      </c>
      <c r="H59" s="50" t="str">
        <f>_xlfn.XLOOKUP(C59,Table1[Countermeasure],Table1[Safe System Category],"")</f>
        <v>Safer Roads</v>
      </c>
      <c r="I59" s="62" t="s">
        <v>48</v>
      </c>
      <c r="J59" s="62" t="s">
        <v>48</v>
      </c>
      <c r="K59" s="62" t="s">
        <v>48</v>
      </c>
      <c r="L59" s="1" t="str">
        <f>IF(_xlfn.XLOOKUP($C59,Table1[Countermeasure],Table1[Increase Attentiveness &amp; Awareness])="x","✓","")</f>
        <v>✓</v>
      </c>
      <c r="M59" s="23" t="str">
        <f>IF(OR(_xlfn.XLOOKUP($C59,Table1[Countermeasure],Table1[Signalized Intersection KSI (equity)])="x",_xlfn.XLOOKUP($C59,Table1[Countermeasure],Table1[Bike Crashes, No facility, midblock (equity)])="x",_xlfn.XLOOKUP($C59,Table1[Countermeasure],Table1[Local Intersection, Injury (equity)])="x",_xlfn.XLOOKUP($C59,Table1[Countermeasure],Table1[Posted Speed 40+ mph (equity)])="x"),"✓","")</f>
        <v>✓</v>
      </c>
      <c r="N59" s="2" t="str">
        <f>IF(NOT(ISERROR(SEARCH("CMF",_xlfn.XLOOKUP($C59,'CMF source, cost, effectiveness'!$A$2:$A$62,'CMF source, cost, effectiveness'!$G$2:$G$62)))),_xlfn.XLOOKUP($C59,'CMF source, cost, effectiveness'!$A$2:$A$62,'CMF source, cost, effectiveness'!$G$2:$G$62),"")</f>
        <v>CMF 4199</v>
      </c>
      <c r="O59" s="62" t="s">
        <v>48</v>
      </c>
      <c r="P59" s="62" t="s">
        <v>48</v>
      </c>
      <c r="Q59" s="62" t="s">
        <v>48</v>
      </c>
      <c r="R59" s="62" t="s">
        <v>48</v>
      </c>
      <c r="S59" s="62" t="s">
        <v>48</v>
      </c>
      <c r="T59" s="31" t="str" cm="1">
        <f t="array" ref="T59">IF(_xlfn.XLOOKUP($C59,Table1[[Countermeasure]:[Countermeasure]],_xlfn.XLOOKUP('Overall Table'!T$1,Table1[[#Headers],[Bike Crashes, intersection turning conflicts]:[Speeding related vehicle crashes]],Table1[[Bike Crashes, intersection turning conflicts]:[Speeding related vehicle crashes]],""),"")="x","✓",IF(_xlfn.XLOOKUP($C59,Table1[Remove Severe Conflicts],_xlfn.XLOOKUP('Overall Table'!T$1,Table1[[#Headers],[Bike Crashes, intersection turning conflicts]:[Speeding related vehicle crashes]],Table1[[Bike Crashes, intersection turning conflicts]:[Speeding related vehicle crashes]],""),"")="o","O",""))</f>
        <v>✓</v>
      </c>
      <c r="U59" s="62" t="s">
        <v>48</v>
      </c>
      <c r="V59" s="31" t="str" cm="1">
        <f t="array" ref="V59">IF(_xlfn.XLOOKUP($C59,Table1[[Countermeasure]:[Countermeasure]],_xlfn.XLOOKUP('Overall Table'!V$1,Table1[[#Headers],[Bike Crashes, intersection turning conflicts]:[Speeding related vehicle crashes]],Table1[[Bike Crashes, intersection turning conflicts]:[Speeding related vehicle crashes]],""),"")="x","✓",IF(_xlfn.XLOOKUP($C59,Table1[Manage Conflicts in Time],_xlfn.XLOOKUP('Overall Table'!V$1,Table1[[#Headers],[Bike Crashes, intersection turning conflicts]:[Speeding related vehicle crashes]],Table1[[Bike Crashes, intersection turning conflicts]:[Speeding related vehicle crashes]],""),"")="o","O",""))</f>
        <v>✓</v>
      </c>
      <c r="W59" s="62" t="s">
        <v>48</v>
      </c>
      <c r="X59" s="62" t="s">
        <v>48</v>
      </c>
      <c r="Y59" s="62" t="s">
        <v>48</v>
      </c>
      <c r="Z59" s="62" t="s">
        <v>48</v>
      </c>
      <c r="AA59" s="62" t="s">
        <v>48</v>
      </c>
      <c r="AB59" s="31" t="str" cm="1">
        <f t="array" ref="AB59">IF(_xlfn.XLOOKUP($C59,Table1[[Countermeasure]:[Countermeasure]],_xlfn.XLOOKUP('Overall Table'!AB$1,Table1[[#Headers],[Bike Crashes, intersection turning conflicts]:[Speeding related vehicle crashes]],Table1[[Bike Crashes, intersection turning conflicts]:[Speeding related vehicle crashes]],""),"")="x","✓",IF(_xlfn.XLOOKUP($C59,Table1[NCHRP 926],_xlfn.XLOOKUP('Overall Table'!AB$1,Table1[[#Headers],[Bike Crashes, intersection turning conflicts]:[Speeding related vehicle crashes]],Table1[[Bike Crashes, intersection turning conflicts]:[Speeding related vehicle crashes]],""),"")="o","O",""))</f>
        <v>✓</v>
      </c>
      <c r="AC59" s="62" t="s">
        <v>48</v>
      </c>
      <c r="AD59" s="62" t="s">
        <v>48</v>
      </c>
    </row>
    <row r="60" spans="1:30" ht="28.5" thickBot="1" x14ac:dyDescent="0.4">
      <c r="A60" s="32" t="str">
        <f>_xlfn.XLOOKUP(C60,Table1[Countermeasure],Table1[Category (FHWA)],"")</f>
        <v>Intersections</v>
      </c>
      <c r="B60" s="36" t="str">
        <f>_xlfn.XLOOKUP(A60,'Data Validation'!$A$2:$A$6,'Data Validation'!$C$2:$C$6,"")&amp;"."&amp;COUNTIF('Overall Table'!$A$2:A60,'Overall Table'!A60)</f>
        <v>IN.25</v>
      </c>
      <c r="C60" s="33" t="str">
        <f>'CM attributes, relevance'!A60</f>
        <v>Improved advance signage and marking visibility (systemic signing/marking) signalized</v>
      </c>
      <c r="D60" s="34"/>
      <c r="E60" s="35" t="str">
        <f>_xlfn.XLOOKUP(C60,'CMF source, cost, effectiveness'!$A$2:$A$101,'CMF source, cost, effectiveness'!$K$2:$K$101,"")</f>
        <v>Low</v>
      </c>
      <c r="F60" s="35" t="str">
        <f>_xlfn.XLOOKUP(C60,'CMF source, cost, effectiveness'!$A$2:$A$66,'CMF source, cost, effectiveness'!$M$2:$M$66,"")</f>
        <v>Less than 1 year</v>
      </c>
      <c r="G60" s="35" t="str">
        <f>_xlfn.XLOOKUP(C60,'CMF source, cost, effectiveness'!$A$2:$A$101,'CMF source, cost, effectiveness'!$L$2:$L$101,"")</f>
        <v>Documented</v>
      </c>
      <c r="H60" s="50" t="str">
        <f>_xlfn.XLOOKUP(C60,Table1[Countermeasure],Table1[Safe System Category],"")</f>
        <v>Safer Roads</v>
      </c>
      <c r="I60" s="62" t="s">
        <v>48</v>
      </c>
      <c r="J60" s="62" t="s">
        <v>48</v>
      </c>
      <c r="K60" s="62" t="s">
        <v>48</v>
      </c>
      <c r="L60" s="1" t="str">
        <f>IF(_xlfn.XLOOKUP($C60,Table1[Countermeasure],Table1[Increase Attentiveness &amp; Awareness])="x","✓","")</f>
        <v>✓</v>
      </c>
      <c r="M60" s="23" t="str">
        <f>IF(OR(_xlfn.XLOOKUP($C60,Table1[Countermeasure],Table1[Signalized Intersection KSI (equity)])="x",_xlfn.XLOOKUP($C60,Table1[Countermeasure],Table1[Bike Crashes, No facility, midblock (equity)])="x",_xlfn.XLOOKUP($C60,Table1[Countermeasure],Table1[Local Intersection, Injury (equity)])="x",_xlfn.XLOOKUP($C60,Table1[Countermeasure],Table1[Posted Speed 40+ mph (equity)])="x"),"✓","")</f>
        <v>✓</v>
      </c>
      <c r="N60" s="2" t="str">
        <f>IF(NOT(ISERROR(SEARCH("CMF",_xlfn.XLOOKUP($C60,'CMF source, cost, effectiveness'!$A$2:$A$62,'CMF source, cost, effectiveness'!$G$2:$G$62)))),_xlfn.XLOOKUP($C60,'CMF source, cost, effectiveness'!$A$2:$A$62,'CMF source, cost, effectiveness'!$G$2:$G$62),"")</f>
        <v>CMF 8929</v>
      </c>
      <c r="O60" s="62" t="s">
        <v>48</v>
      </c>
      <c r="P60" s="62" t="s">
        <v>48</v>
      </c>
      <c r="Q60" s="62" t="s">
        <v>48</v>
      </c>
      <c r="R60" s="62" t="s">
        <v>48</v>
      </c>
      <c r="S60" s="62" t="s">
        <v>48</v>
      </c>
      <c r="T60" s="31" t="str" cm="1">
        <f t="array" ref="T60">IF(_xlfn.XLOOKUP($C60,Table1[[Countermeasure]:[Countermeasure]],_xlfn.XLOOKUP('Overall Table'!T$1,Table1[[#Headers],[Bike Crashes, intersection turning conflicts]:[Speeding related vehicle crashes]],Table1[[Bike Crashes, intersection turning conflicts]:[Speeding related vehicle crashes]],""),"")="x","✓",IF(_xlfn.XLOOKUP($C60,Table1[Remove Severe Conflicts],_xlfn.XLOOKUP('Overall Table'!T$1,Table1[[#Headers],[Bike Crashes, intersection turning conflicts]:[Speeding related vehicle crashes]],Table1[[Bike Crashes, intersection turning conflicts]:[Speeding related vehicle crashes]],""),"")="o","O",""))</f>
        <v>✓</v>
      </c>
      <c r="U60" s="62" t="s">
        <v>48</v>
      </c>
      <c r="V60" s="31" t="str" cm="1">
        <f t="array" ref="V60">IF(_xlfn.XLOOKUP($C60,Table1[[Countermeasure]:[Countermeasure]],_xlfn.XLOOKUP('Overall Table'!V$1,Table1[[#Headers],[Bike Crashes, intersection turning conflicts]:[Speeding related vehicle crashes]],Table1[[Bike Crashes, intersection turning conflicts]:[Speeding related vehicle crashes]],""),"")="x","✓",IF(_xlfn.XLOOKUP($C60,Table1[Manage Conflicts in Time],_xlfn.XLOOKUP('Overall Table'!V$1,Table1[[#Headers],[Bike Crashes, intersection turning conflicts]:[Speeding related vehicle crashes]],Table1[[Bike Crashes, intersection turning conflicts]:[Speeding related vehicle crashes]],""),"")="o","O",""))</f>
        <v>✓</v>
      </c>
      <c r="W60" s="62" t="s">
        <v>48</v>
      </c>
      <c r="X60" s="31" t="str" cm="1">
        <f t="array" ref="X60">IF(_xlfn.XLOOKUP($C60,Table1[[Countermeasure]:[Countermeasure]],_xlfn.XLOOKUP('Overall Table'!X$1,Table1[[#Headers],[Bike Crashes, intersection turning conflicts]:[Speeding related vehicle crashes]],Table1[[Bike Crashes, intersection turning conflicts]:[Speeding related vehicle crashes]],""),"")="x","✓",IF(_xlfn.XLOOKUP($C60,Table1[FHWA helper],_xlfn.XLOOKUP('Overall Table'!X$1,Table1[[#Headers],[Bike Crashes, intersection turning conflicts]:[Speeding related vehicle crashes]],Table1[[Bike Crashes, intersection turning conflicts]:[Speeding related vehicle crashes]],""),"")="o","O",""))</f>
        <v>✓</v>
      </c>
      <c r="Y60" s="31" t="str" cm="1">
        <f t="array" ref="Y60">IF(_xlfn.XLOOKUP($C60,Table1[[Countermeasure]:[Countermeasure]],_xlfn.XLOOKUP('Overall Table'!Y$1,Table1[[#Headers],[Bike Crashes, intersection turning conflicts]:[Speeding related vehicle crashes]],Table1[[Bike Crashes, intersection turning conflicts]:[Speeding related vehicle crashes]],""),"")="x","✓",IF(_xlfn.XLOOKUP($C60,Table1[Category (FHWA)],_xlfn.XLOOKUP('Overall Table'!Y$1,Table1[[#Headers],[Bike Crashes, intersection turning conflicts]:[Speeding related vehicle crashes]],Table1[[Bike Crashes, intersection turning conflicts]:[Speeding related vehicle crashes]],""),"")="o","O",""))</f>
        <v>✓</v>
      </c>
      <c r="Z60" s="31" t="str" cm="1">
        <f t="array" ref="Z60">IF(_xlfn.XLOOKUP($C60,Table1[[Countermeasure]:[Countermeasure]],_xlfn.XLOOKUP('Overall Table'!Z$1,Table1[[#Headers],[Bike Crashes, intersection turning conflicts]:[Speeding related vehicle crashes]],Table1[[Bike Crashes, intersection turning conflicts]:[Speeding related vehicle crashes]],""),"")="x","✓",IF(_xlfn.XLOOKUP($C60,Table1[Proven Safety Countermeasure],_xlfn.XLOOKUP('Overall Table'!Z$1,Table1[[#Headers],[Bike Crashes, intersection turning conflicts]:[Speeding related vehicle crashes]],Table1[[Bike Crashes, intersection turning conflicts]:[Speeding related vehicle crashes]],""),"")="o","O",""))</f>
        <v>✓</v>
      </c>
      <c r="AA60" s="31" t="str" cm="1">
        <f t="array" ref="AA60">IF(_xlfn.XLOOKUP($C60,Table1[[Countermeasure]:[Countermeasure]],_xlfn.XLOOKUP('Overall Table'!AA$1,Table1[[#Headers],[Bike Crashes, intersection turning conflicts]:[Speeding related vehicle crashes]],Table1[[Bike Crashes, intersection turning conflicts]:[Speeding related vehicle crashes]],""),"")="x","✓",IF(_xlfn.XLOOKUP($C60,Table1[MnDOT District Roadway Safety "Big Book of Ideas"],_xlfn.XLOOKUP('Overall Table'!AA$1,Table1[[#Headers],[Bike Crashes, intersection turning conflicts]:[Speeding related vehicle crashes]],Table1[[Bike Crashes, intersection turning conflicts]:[Speeding related vehicle crashes]],""),"")="o","O",""))</f>
        <v>✓</v>
      </c>
      <c r="AB60" s="31" t="str" cm="1">
        <f t="array" ref="AB60">IF(_xlfn.XLOOKUP($C60,Table1[[Countermeasure]:[Countermeasure]],_xlfn.XLOOKUP('Overall Table'!AB$1,Table1[[#Headers],[Bike Crashes, intersection turning conflicts]:[Speeding related vehicle crashes]],Table1[[Bike Crashes, intersection turning conflicts]:[Speeding related vehicle crashes]],""),"")="x","✓",IF(_xlfn.XLOOKUP($C60,Table1[NCHRP 926],_xlfn.XLOOKUP('Overall Table'!AB$1,Table1[[#Headers],[Bike Crashes, intersection turning conflicts]:[Speeding related vehicle crashes]],Table1[[Bike Crashes, intersection turning conflicts]:[Speeding related vehicle crashes]],""),"")="o","O",""))</f>
        <v>✓</v>
      </c>
      <c r="AC60" s="62" t="s">
        <v>48</v>
      </c>
      <c r="AD60" s="62" t="s">
        <v>48</v>
      </c>
    </row>
    <row r="61" spans="1:30" ht="28.5" thickBot="1" x14ac:dyDescent="0.4">
      <c r="A61" s="32" t="str">
        <f>_xlfn.XLOOKUP(C61,Table1[Countermeasure],Table1[Category (FHWA)],"")</f>
        <v>Intersections</v>
      </c>
      <c r="B61" s="36" t="str">
        <f>_xlfn.XLOOKUP(A61,'Data Validation'!$A$2:$A$6,'Data Validation'!$C$2:$C$6,"")&amp;"."&amp;COUNTIF('Overall Table'!$A$2:A61,'Overall Table'!A61)</f>
        <v>IN.26</v>
      </c>
      <c r="C61" s="33" t="str">
        <f>'CM attributes, relevance'!A61</f>
        <v>Improved advance signage and marking visibility (systemic signing/marking), stop-controlled</v>
      </c>
      <c r="D61" s="34"/>
      <c r="E61" s="35" t="str">
        <f>_xlfn.XLOOKUP(C61,'CMF source, cost, effectiveness'!$A$2:$A$101,'CMF source, cost, effectiveness'!$K$2:$K$101,"")</f>
        <v>Low</v>
      </c>
      <c r="F61" s="35" t="str">
        <f>_xlfn.XLOOKUP(C61,'CMF source, cost, effectiveness'!$A$2:$A$66,'CMF source, cost, effectiveness'!$M$2:$M$66,"")</f>
        <v>Less than 1 year</v>
      </c>
      <c r="G61" s="35" t="str">
        <f>_xlfn.XLOOKUP(C61,'CMF source, cost, effectiveness'!$A$2:$A$101,'CMF source, cost, effectiveness'!$L$2:$L$101,"")</f>
        <v>Proven</v>
      </c>
      <c r="H61" s="50" t="str">
        <f>_xlfn.XLOOKUP(C61,Table1[Countermeasure],Table1[Safe System Category],"")</f>
        <v>Safer Roads</v>
      </c>
      <c r="I61" s="62" t="s">
        <v>48</v>
      </c>
      <c r="J61" s="62" t="s">
        <v>48</v>
      </c>
      <c r="K61" s="62" t="s">
        <v>48</v>
      </c>
      <c r="L61" s="1" t="str">
        <f>IF(_xlfn.XLOOKUP($C61,Table1[Countermeasure],Table1[Increase Attentiveness &amp; Awareness])="x","✓","")</f>
        <v>✓</v>
      </c>
      <c r="M61" s="23" t="str">
        <f>IF(OR(_xlfn.XLOOKUP($C61,Table1[Countermeasure],Table1[Signalized Intersection KSI (equity)])="x",_xlfn.XLOOKUP($C61,Table1[Countermeasure],Table1[Bike Crashes, No facility, midblock (equity)])="x",_xlfn.XLOOKUP($C61,Table1[Countermeasure],Table1[Local Intersection, Injury (equity)])="x",_xlfn.XLOOKUP($C61,Table1[Countermeasure],Table1[Posted Speed 40+ mph (equity)])="x"),"✓","")</f>
        <v>✓</v>
      </c>
      <c r="N61" s="2" t="str">
        <f>IF(NOT(ISERROR(SEARCH("CMF",_xlfn.XLOOKUP($C61,'CMF source, cost, effectiveness'!$A$2:$A$62,'CMF source, cost, effectiveness'!$G$2:$G$62)))),_xlfn.XLOOKUP($C61,'CMF source, cost, effectiveness'!$A$2:$A$62,'CMF source, cost, effectiveness'!$G$2:$G$62),"")</f>
        <v>CMF 8878</v>
      </c>
      <c r="O61" s="2" t="str">
        <f>IF(_xlfn.XLOOKUP($C61,Table1[Countermeasure],Table1[Proven Safety Countermeasure])="x","Proven Safety Countermeasures",IF(_xlfn.XLOOKUP($C61,Table1[Countermeasure],Table1[Proven Safety Countermeasure])="Toolbox of Pedestrian Countermeasures","Toolbox of Pedestrian Countermeasures",""))</f>
        <v>Proven Safety Countermeasures</v>
      </c>
      <c r="P61" s="62" t="s">
        <v>48</v>
      </c>
      <c r="Q61" s="62" t="s">
        <v>48</v>
      </c>
      <c r="R61" s="62" t="s">
        <v>48</v>
      </c>
      <c r="S61" s="62" t="s">
        <v>48</v>
      </c>
      <c r="T61" s="62" t="s">
        <v>48</v>
      </c>
      <c r="U61" s="62" t="s">
        <v>48</v>
      </c>
      <c r="V61" s="31" t="str" cm="1">
        <f t="array" ref="V61">IF(_xlfn.XLOOKUP($C61,Table1[[Countermeasure]:[Countermeasure]],_xlfn.XLOOKUP('Overall Table'!V$1,Table1[[#Headers],[Bike Crashes, intersection turning conflicts]:[Speeding related vehicle crashes]],Table1[[Bike Crashes, intersection turning conflicts]:[Speeding related vehicle crashes]],""),"")="x","✓",IF(_xlfn.XLOOKUP($C61,Table1[Manage Conflicts in Time],_xlfn.XLOOKUP('Overall Table'!V$1,Table1[[#Headers],[Bike Crashes, intersection turning conflicts]:[Speeding related vehicle crashes]],Table1[[Bike Crashes, intersection turning conflicts]:[Speeding related vehicle crashes]],""),"")="o","O",""))</f>
        <v>✓</v>
      </c>
      <c r="W61" s="62" t="s">
        <v>48</v>
      </c>
      <c r="X61" s="31" t="str" cm="1">
        <f t="array" ref="X61">IF(_xlfn.XLOOKUP($C61,Table1[[Countermeasure]:[Countermeasure]],_xlfn.XLOOKUP('Overall Table'!X$1,Table1[[#Headers],[Bike Crashes, intersection turning conflicts]:[Speeding related vehicle crashes]],Table1[[Bike Crashes, intersection turning conflicts]:[Speeding related vehicle crashes]],""),"")="x","✓",IF(_xlfn.XLOOKUP($C61,Table1[FHWA helper],_xlfn.XLOOKUP('Overall Table'!X$1,Table1[[#Headers],[Bike Crashes, intersection turning conflicts]:[Speeding related vehicle crashes]],Table1[[Bike Crashes, intersection turning conflicts]:[Speeding related vehicle crashes]],""),"")="o","O",""))</f>
        <v>✓</v>
      </c>
      <c r="Y61" s="31" t="str" cm="1">
        <f t="array" ref="Y61">IF(_xlfn.XLOOKUP($C61,Table1[[Countermeasure]:[Countermeasure]],_xlfn.XLOOKUP('Overall Table'!Y$1,Table1[[#Headers],[Bike Crashes, intersection turning conflicts]:[Speeding related vehicle crashes]],Table1[[Bike Crashes, intersection turning conflicts]:[Speeding related vehicle crashes]],""),"")="x","✓",IF(_xlfn.XLOOKUP($C61,Table1[Category (FHWA)],_xlfn.XLOOKUP('Overall Table'!Y$1,Table1[[#Headers],[Bike Crashes, intersection turning conflicts]:[Speeding related vehicle crashes]],Table1[[Bike Crashes, intersection turning conflicts]:[Speeding related vehicle crashes]],""),"")="o","O",""))</f>
        <v>✓</v>
      </c>
      <c r="Z61" s="31" t="str" cm="1">
        <f t="array" ref="Z61">IF(_xlfn.XLOOKUP($C61,Table1[[Countermeasure]:[Countermeasure]],_xlfn.XLOOKUP('Overall Table'!Z$1,Table1[[#Headers],[Bike Crashes, intersection turning conflicts]:[Speeding related vehicle crashes]],Table1[[Bike Crashes, intersection turning conflicts]:[Speeding related vehicle crashes]],""),"")="x","✓",IF(_xlfn.XLOOKUP($C61,Table1[Proven Safety Countermeasure],_xlfn.XLOOKUP('Overall Table'!Z$1,Table1[[#Headers],[Bike Crashes, intersection turning conflicts]:[Speeding related vehicle crashes]],Table1[[Bike Crashes, intersection turning conflicts]:[Speeding related vehicle crashes]],""),"")="o","O",""))</f>
        <v>✓</v>
      </c>
      <c r="AA61" s="31" t="str" cm="1">
        <f t="array" ref="AA61">IF(_xlfn.XLOOKUP($C61,Table1[[Countermeasure]:[Countermeasure]],_xlfn.XLOOKUP('Overall Table'!AA$1,Table1[[#Headers],[Bike Crashes, intersection turning conflicts]:[Speeding related vehicle crashes]],Table1[[Bike Crashes, intersection turning conflicts]:[Speeding related vehicle crashes]],""),"")="x","✓",IF(_xlfn.XLOOKUP($C61,Table1[MnDOT District Roadway Safety "Big Book of Ideas"],_xlfn.XLOOKUP('Overall Table'!AA$1,Table1[[#Headers],[Bike Crashes, intersection turning conflicts]:[Speeding related vehicle crashes]],Table1[[Bike Crashes, intersection turning conflicts]:[Speeding related vehicle crashes]],""),"")="o","O",""))</f>
        <v>✓</v>
      </c>
      <c r="AB61" s="31" t="str" cm="1">
        <f t="array" ref="AB61">IF(_xlfn.XLOOKUP($C61,Table1[[Countermeasure]:[Countermeasure]],_xlfn.XLOOKUP('Overall Table'!AB$1,Table1[[#Headers],[Bike Crashes, intersection turning conflicts]:[Speeding related vehicle crashes]],Table1[[Bike Crashes, intersection turning conflicts]:[Speeding related vehicle crashes]],""),"")="x","✓",IF(_xlfn.XLOOKUP($C61,Table1[NCHRP 926],_xlfn.XLOOKUP('Overall Table'!AB$1,Table1[[#Headers],[Bike Crashes, intersection turning conflicts]:[Speeding related vehicle crashes]],Table1[[Bike Crashes, intersection turning conflicts]:[Speeding related vehicle crashes]],""),"")="o","O",""))</f>
        <v>✓</v>
      </c>
      <c r="AC61" s="62" t="s">
        <v>48</v>
      </c>
      <c r="AD61" s="62" t="s">
        <v>48</v>
      </c>
    </row>
    <row r="62" spans="1:30" ht="15" thickBot="1" x14ac:dyDescent="0.4">
      <c r="A62" s="32" t="str">
        <f>_xlfn.XLOOKUP(C62,Table1[Countermeasure],Table1[Category (FHWA)],"")</f>
        <v>Intersections</v>
      </c>
      <c r="B62" s="36" t="str">
        <f>_xlfn.XLOOKUP(A62,'Data Validation'!$A$2:$A$6,'Data Validation'!$C$2:$C$6,"")&amp;"."&amp;COUNTIF('Overall Table'!$A$2:A62,'Overall Table'!A62)</f>
        <v>IN.27</v>
      </c>
      <c r="C62" s="33" t="str">
        <f>'CM attributes, relevance'!A62</f>
        <v>Intersection conflict warning system (unsignalized int.)</v>
      </c>
      <c r="D62" s="34"/>
      <c r="E62" s="35" t="str">
        <f>_xlfn.XLOOKUP(C62,'CMF source, cost, effectiveness'!$A$2:$A$101,'CMF source, cost, effectiveness'!$K$2:$K$101,"")</f>
        <v>Moderate</v>
      </c>
      <c r="F62" s="35" t="str">
        <f>_xlfn.XLOOKUP(C62,'CMF source, cost, effectiveness'!$A$2:$A$66,'CMF source, cost, effectiveness'!$M$2:$M$66,"")</f>
        <v>1 - 2 years</v>
      </c>
      <c r="G62" s="35" t="str">
        <f>_xlfn.XLOOKUP(C62,'CMF source, cost, effectiveness'!$A$2:$A$101,'CMF source, cost, effectiveness'!$L$2:$L$101,"")</f>
        <v>Documented</v>
      </c>
      <c r="H62" s="50" t="str">
        <f>_xlfn.XLOOKUP(C62,Table1[Countermeasure],Table1[Safe System Category],"")</f>
        <v>Safer Roads</v>
      </c>
      <c r="I62" s="62" t="s">
        <v>48</v>
      </c>
      <c r="J62" s="62" t="s">
        <v>48</v>
      </c>
      <c r="K62" s="62" t="s">
        <v>48</v>
      </c>
      <c r="L62" s="1" t="str">
        <f>IF(_xlfn.XLOOKUP($C62,Table1[Countermeasure],Table1[Increase Attentiveness &amp; Awareness])="x","✓","")</f>
        <v>✓</v>
      </c>
      <c r="M62" s="23" t="str">
        <f>IF(OR(_xlfn.XLOOKUP($C62,Table1[Countermeasure],Table1[Signalized Intersection KSI (equity)])="x",_xlfn.XLOOKUP($C62,Table1[Countermeasure],Table1[Bike Crashes, No facility, midblock (equity)])="x",_xlfn.XLOOKUP($C62,Table1[Countermeasure],Table1[Local Intersection, Injury (equity)])="x",_xlfn.XLOOKUP($C62,Table1[Countermeasure],Table1[Posted Speed 40+ mph (equity)])="x"),"✓","")</f>
        <v>✓</v>
      </c>
      <c r="N62" s="2" t="str">
        <f>IF(NOT(ISERROR(SEARCH("CMF",_xlfn.XLOOKUP($C62,'CMF source, cost, effectiveness'!$A$2:$A$62,'CMF source, cost, effectiveness'!$G$2:$G$62)))),_xlfn.XLOOKUP($C62,'CMF source, cost, effectiveness'!$A$2:$A$62,'CMF source, cost, effectiveness'!$G$2:$G$62),"")</f>
        <v>CMF 4916</v>
      </c>
      <c r="O62" s="62" t="s">
        <v>48</v>
      </c>
      <c r="P62" s="62" t="s">
        <v>48</v>
      </c>
      <c r="Q62" s="62" t="s">
        <v>48</v>
      </c>
      <c r="R62" s="62" t="s">
        <v>48</v>
      </c>
      <c r="S62" s="62" t="s">
        <v>48</v>
      </c>
      <c r="T62" s="62" t="s">
        <v>48</v>
      </c>
      <c r="U62" s="62" t="s">
        <v>48</v>
      </c>
      <c r="V62" s="31" t="str" cm="1">
        <f t="array" ref="V62">IF(_xlfn.XLOOKUP($C62,Table1[[Countermeasure]:[Countermeasure]],_xlfn.XLOOKUP('Overall Table'!V$1,Table1[[#Headers],[Bike Crashes, intersection turning conflicts]:[Speeding related vehicle crashes]],Table1[[Bike Crashes, intersection turning conflicts]:[Speeding related vehicle crashes]],""),"")="x","✓",IF(_xlfn.XLOOKUP($C62,Table1[Manage Conflicts in Time],_xlfn.XLOOKUP('Overall Table'!V$1,Table1[[#Headers],[Bike Crashes, intersection turning conflicts]:[Speeding related vehicle crashes]],Table1[[Bike Crashes, intersection turning conflicts]:[Speeding related vehicle crashes]],""),"")="o","O",""))</f>
        <v>✓</v>
      </c>
      <c r="W62" s="62" t="s">
        <v>48</v>
      </c>
      <c r="X62" s="31" t="str" cm="1">
        <f t="array" ref="X62">IF(_xlfn.XLOOKUP($C62,Table1[[Countermeasure]:[Countermeasure]],_xlfn.XLOOKUP('Overall Table'!X$1,Table1[[#Headers],[Bike Crashes, intersection turning conflicts]:[Speeding related vehicle crashes]],Table1[[Bike Crashes, intersection turning conflicts]:[Speeding related vehicle crashes]],""),"")="x","✓",IF(_xlfn.XLOOKUP($C62,Table1[FHWA helper],_xlfn.XLOOKUP('Overall Table'!X$1,Table1[[#Headers],[Bike Crashes, intersection turning conflicts]:[Speeding related vehicle crashes]],Table1[[Bike Crashes, intersection turning conflicts]:[Speeding related vehicle crashes]],""),"")="o","O",""))</f>
        <v>✓</v>
      </c>
      <c r="Y62" s="62" t="s">
        <v>48</v>
      </c>
      <c r="Z62" s="62" t="s">
        <v>48</v>
      </c>
      <c r="AA62" s="62" t="s">
        <v>48</v>
      </c>
      <c r="AB62" s="31" t="str" cm="1">
        <f t="array" ref="AB62">IF(_xlfn.XLOOKUP($C62,Table1[[Countermeasure]:[Countermeasure]],_xlfn.XLOOKUP('Overall Table'!AB$1,Table1[[#Headers],[Bike Crashes, intersection turning conflicts]:[Speeding related vehicle crashes]],Table1[[Bike Crashes, intersection turning conflicts]:[Speeding related vehicle crashes]],""),"")="x","✓",IF(_xlfn.XLOOKUP($C62,Table1[NCHRP 926],_xlfn.XLOOKUP('Overall Table'!AB$1,Table1[[#Headers],[Bike Crashes, intersection turning conflicts]:[Speeding related vehicle crashes]],Table1[[Bike Crashes, intersection turning conflicts]:[Speeding related vehicle crashes]],""),"")="o","O",""))</f>
        <v>✓</v>
      </c>
      <c r="AC62" s="62" t="s">
        <v>48</v>
      </c>
      <c r="AD62" s="62" t="s">
        <v>48</v>
      </c>
    </row>
    <row r="63" spans="1:30" ht="15" thickBot="1" x14ac:dyDescent="0.4">
      <c r="A63" s="32" t="str">
        <f>_xlfn.XLOOKUP(C63,Table1[Countermeasure],Table1[Category (FHWA)],"")</f>
        <v>Intersections</v>
      </c>
      <c r="B63" s="36" t="str">
        <f>_xlfn.XLOOKUP(A63,'Data Validation'!$A$2:$A$6,'Data Validation'!$C$2:$C$6,"")&amp;"."&amp;COUNTIF('Overall Table'!$A$2:A63,'Overall Table'!A63)</f>
        <v>IN.28</v>
      </c>
      <c r="C63" s="33" t="str">
        <f>'CM attributes, relevance'!A63</f>
        <v>Increase triangle sight distance</v>
      </c>
      <c r="D63" s="34"/>
      <c r="E63" s="35" t="str">
        <f>_xlfn.XLOOKUP(C63,'CMF source, cost, effectiveness'!$A$2:$A$101,'CMF source, cost, effectiveness'!$K$2:$K$101,"")</f>
        <v>Low</v>
      </c>
      <c r="F63" s="35" t="str">
        <f>_xlfn.XLOOKUP(C63,'CMF source, cost, effectiveness'!$A$2:$A$66,'CMF source, cost, effectiveness'!$M$2:$M$66,"")</f>
        <v>1 - 2 years</v>
      </c>
      <c r="G63" s="35" t="str">
        <f>_xlfn.XLOOKUP(C63,'CMF source, cost, effectiveness'!$A$2:$A$101,'CMF source, cost, effectiveness'!$L$2:$L$101,"")</f>
        <v>Documented</v>
      </c>
      <c r="H63" s="50" t="str">
        <f>_xlfn.XLOOKUP(C63,Table1[Countermeasure],Table1[Safe System Category],"")</f>
        <v>Safer Roads</v>
      </c>
      <c r="I63" s="62" t="s">
        <v>48</v>
      </c>
      <c r="J63" s="62" t="s">
        <v>48</v>
      </c>
      <c r="K63" s="62" t="s">
        <v>48</v>
      </c>
      <c r="L63" s="1" t="str">
        <f>IF(_xlfn.XLOOKUP($C63,Table1[Countermeasure],Table1[Increase Attentiveness &amp; Awareness])="x","✓","")</f>
        <v>✓</v>
      </c>
      <c r="M63" s="23" t="str">
        <f>IF(OR(_xlfn.XLOOKUP($C63,Table1[Countermeasure],Table1[Signalized Intersection KSI (equity)])="x",_xlfn.XLOOKUP($C63,Table1[Countermeasure],Table1[Bike Crashes, No facility, midblock (equity)])="x",_xlfn.XLOOKUP($C63,Table1[Countermeasure],Table1[Local Intersection, Injury (equity)])="x",_xlfn.XLOOKUP($C63,Table1[Countermeasure],Table1[Posted Speed 40+ mph (equity)])="x"),"✓","")</f>
        <v>✓</v>
      </c>
      <c r="N63" s="2" t="str">
        <f>IF(NOT(ISERROR(SEARCH("CMF",_xlfn.XLOOKUP($C63,'CMF source, cost, effectiveness'!$A$2:$A$62,'CMF source, cost, effectiveness'!$G$2:$G$62)))),_xlfn.XLOOKUP($C63,'CMF source, cost, effectiveness'!$A$2:$A$62,'CMF source, cost, effectiveness'!$G$2:$G$62),"")</f>
        <v>CMF 307</v>
      </c>
      <c r="O63" s="62" t="s">
        <v>48</v>
      </c>
      <c r="P63" s="62" t="s">
        <v>48</v>
      </c>
      <c r="Q63" s="62" t="s">
        <v>48</v>
      </c>
      <c r="R63" s="62" t="s">
        <v>48</v>
      </c>
      <c r="S63" s="30" t="str" cm="1">
        <f t="array" ref="S63">IF(_xlfn.XLOOKUP($C63,Table1[[Countermeasure]:[Countermeasure]],_xlfn.XLOOKUP('Overall Table'!S$1,Table1[[#Headers],[Bike Crashes, intersection turning conflicts]:[Speeding related vehicle crashes]],Table1[[Bike Crashes, intersection turning conflicts]:[Speeding related vehicle crashes]],""),"")="x","✓",IF(_xlfn.XLOOKUP($C63,Table1[Countermeasure],_xlfn.XLOOKUP('Overall Table'!S$1,Table1[[#Headers],[Bike Crashes, intersection turning conflicts]:[Speeding related vehicle crashes]],Table1[[Bike Crashes, intersection turning conflicts]:[Speeding related vehicle crashes]],""),"")="o","O",""))</f>
        <v>✓</v>
      </c>
      <c r="T63" s="31" t="str" cm="1">
        <f t="array" ref="T63">IF(_xlfn.XLOOKUP($C63,Table1[[Countermeasure]:[Countermeasure]],_xlfn.XLOOKUP('Overall Table'!T$1,Table1[[#Headers],[Bike Crashes, intersection turning conflicts]:[Speeding related vehicle crashes]],Table1[[Bike Crashes, intersection turning conflicts]:[Speeding related vehicle crashes]],""),"")="x","✓",IF(_xlfn.XLOOKUP($C63,Table1[Remove Severe Conflicts],_xlfn.XLOOKUP('Overall Table'!T$1,Table1[[#Headers],[Bike Crashes, intersection turning conflicts]:[Speeding related vehicle crashes]],Table1[[Bike Crashes, intersection turning conflicts]:[Speeding related vehicle crashes]],""),"")="o","O",""))</f>
        <v>✓</v>
      </c>
      <c r="U63" s="62" t="s">
        <v>48</v>
      </c>
      <c r="V63" s="62" t="s">
        <v>48</v>
      </c>
      <c r="W63" s="62" t="s">
        <v>48</v>
      </c>
      <c r="X63" s="62" t="s">
        <v>48</v>
      </c>
      <c r="Y63" s="62" t="s">
        <v>48</v>
      </c>
      <c r="Z63" s="62" t="s">
        <v>48</v>
      </c>
      <c r="AA63" s="62" t="s">
        <v>48</v>
      </c>
      <c r="AB63" s="62" t="s">
        <v>48</v>
      </c>
      <c r="AC63" s="62" t="s">
        <v>48</v>
      </c>
      <c r="AD63" s="62" t="s">
        <v>48</v>
      </c>
    </row>
    <row r="64" spans="1:30" ht="15" thickBot="1" x14ac:dyDescent="0.4">
      <c r="A64" s="32" t="str">
        <f>_xlfn.XLOOKUP(C64,Table1[Countermeasure],Table1[Category (FHWA)],"")</f>
        <v>Crosscutting</v>
      </c>
      <c r="B64" s="36" t="str">
        <f>_xlfn.XLOOKUP(A64,'Data Validation'!$A$2:$A$6,'Data Validation'!$C$2:$C$6,"")&amp;"."&amp;COUNTIF('Overall Table'!$A$2:A64,'Overall Table'!A64)</f>
        <v>CR.1</v>
      </c>
      <c r="C64" s="33" t="str">
        <f>'CM attributes, relevance'!A64</f>
        <v>High friction surface treatment (HFST)</v>
      </c>
      <c r="D64" s="34"/>
      <c r="E64" s="35" t="str">
        <f>_xlfn.XLOOKUP(C64,'CMF source, cost, effectiveness'!$A$2:$A$101,'CMF source, cost, effectiveness'!$K$2:$K$101,"")</f>
        <v>High</v>
      </c>
      <c r="F64" s="35" t="str">
        <f>_xlfn.XLOOKUP(C64,'CMF source, cost, effectiveness'!$A$2:$A$66,'CMF source, cost, effectiveness'!$M$2:$M$66,"")</f>
        <v>Less than 1 year</v>
      </c>
      <c r="G64" s="35" t="str">
        <f>_xlfn.XLOOKUP(C64,'CMF source, cost, effectiveness'!$A$2:$A$101,'CMF source, cost, effectiveness'!$L$2:$L$101,"")</f>
        <v>Documented</v>
      </c>
      <c r="H64" s="50" t="str">
        <f>_xlfn.XLOOKUP(C64,Table1[Countermeasure],Table1[Safe System Category],"")</f>
        <v>Safer Roads</v>
      </c>
      <c r="I64" s="1" t="str">
        <f>IF(_xlfn.XLOOKUP($C64,Table1[Countermeasure],Table1[Remove Severe Conflicts])="x","✓","")</f>
        <v>✓</v>
      </c>
      <c r="J64" s="1" t="str">
        <f>IF(_xlfn.XLOOKUP($C64,Table1[Countermeasure],Table1[Reduce Vehicle Speeds])="x","✓","")</f>
        <v>✓</v>
      </c>
      <c r="K64" s="62" t="s">
        <v>48</v>
      </c>
      <c r="L64" s="62" t="s">
        <v>48</v>
      </c>
      <c r="M64" s="23" t="str">
        <f>IF(OR(_xlfn.XLOOKUP($C64,Table1[Countermeasure],Table1[Signalized Intersection KSI (equity)])="x",_xlfn.XLOOKUP($C64,Table1[Countermeasure],Table1[Bike Crashes, No facility, midblock (equity)])="x",_xlfn.XLOOKUP($C64,Table1[Countermeasure],Table1[Local Intersection, Injury (equity)])="x",_xlfn.XLOOKUP($C64,Table1[Countermeasure],Table1[Posted Speed 40+ mph (equity)])="x"),"✓","")</f>
        <v>✓</v>
      </c>
      <c r="N64" s="2" t="str">
        <f>IF(NOT(ISERROR(SEARCH("CMF",_xlfn.XLOOKUP($C64,'CMF source, cost, effectiveness'!$A$2:$A$62,'CMF source, cost, effectiveness'!$G$2:$G$62)))),_xlfn.XLOOKUP($C64,'CMF source, cost, effectiveness'!$A$2:$A$62,'CMF source, cost, effectiveness'!$G$2:$G$62),"")</f>
        <v>CMF 10333</v>
      </c>
      <c r="O64" s="62" t="s">
        <v>48</v>
      </c>
      <c r="P64" s="62" t="s">
        <v>48</v>
      </c>
      <c r="Q64" s="62" t="s">
        <v>48</v>
      </c>
      <c r="R64" s="62" t="s">
        <v>48</v>
      </c>
      <c r="S64" s="62" t="s">
        <v>48</v>
      </c>
      <c r="T64" s="31" t="str" cm="1">
        <f t="array" ref="T64">IF(_xlfn.XLOOKUP($C64,Table1[[Countermeasure]:[Countermeasure]],_xlfn.XLOOKUP('Overall Table'!T$1,Table1[[#Headers],[Bike Crashes, intersection turning conflicts]:[Speeding related vehicle crashes]],Table1[[Bike Crashes, intersection turning conflicts]:[Speeding related vehicle crashes]],""),"")="x","✓",IF(_xlfn.XLOOKUP($C64,Table1[Remove Severe Conflicts],_xlfn.XLOOKUP('Overall Table'!T$1,Table1[[#Headers],[Bike Crashes, intersection turning conflicts]:[Speeding related vehicle crashes]],Table1[[Bike Crashes, intersection turning conflicts]:[Speeding related vehicle crashes]],""),"")="o","O",""))</f>
        <v>✓</v>
      </c>
      <c r="U64" s="62" t="s">
        <v>48</v>
      </c>
      <c r="V64" s="31" t="str" cm="1">
        <f t="array" ref="V64">IF(_xlfn.XLOOKUP($C64,Table1[[Countermeasure]:[Countermeasure]],_xlfn.XLOOKUP('Overall Table'!V$1,Table1[[#Headers],[Bike Crashes, intersection turning conflicts]:[Speeding related vehicle crashes]],Table1[[Bike Crashes, intersection turning conflicts]:[Speeding related vehicle crashes]],""),"")="x","✓",IF(_xlfn.XLOOKUP($C64,Table1[Manage Conflicts in Time],_xlfn.XLOOKUP('Overall Table'!V$1,Table1[[#Headers],[Bike Crashes, intersection turning conflicts]:[Speeding related vehicle crashes]],Table1[[Bike Crashes, intersection turning conflicts]:[Speeding related vehicle crashes]],""),"")="o","O",""))</f>
        <v>✓</v>
      </c>
      <c r="W64" s="62" t="s">
        <v>48</v>
      </c>
      <c r="X64" s="31" t="str" cm="1">
        <f t="array" ref="X64">IF(_xlfn.XLOOKUP($C64,Table1[[Countermeasure]:[Countermeasure]],_xlfn.XLOOKUP('Overall Table'!X$1,Table1[[#Headers],[Bike Crashes, intersection turning conflicts]:[Speeding related vehicle crashes]],Table1[[Bike Crashes, intersection turning conflicts]:[Speeding related vehicle crashes]],""),"")="x","✓",IF(_xlfn.XLOOKUP($C64,Table1[FHWA helper],_xlfn.XLOOKUP('Overall Table'!X$1,Table1[[#Headers],[Bike Crashes, intersection turning conflicts]:[Speeding related vehicle crashes]],Table1[[Bike Crashes, intersection turning conflicts]:[Speeding related vehicle crashes]],""),"")="o","O",""))</f>
        <v>✓</v>
      </c>
      <c r="Y64" s="62" t="s">
        <v>48</v>
      </c>
      <c r="Z64" s="62" t="s">
        <v>48</v>
      </c>
      <c r="AA64" s="31" t="str" cm="1">
        <f t="array" ref="AA64">IF(_xlfn.XLOOKUP($C64,Table1[[Countermeasure]:[Countermeasure]],_xlfn.XLOOKUP('Overall Table'!AA$1,Table1[[#Headers],[Bike Crashes, intersection turning conflicts]:[Speeding related vehicle crashes]],Table1[[Bike Crashes, intersection turning conflicts]:[Speeding related vehicle crashes]],""),"")="x","✓",IF(_xlfn.XLOOKUP($C64,Table1[MnDOT District Roadway Safety "Big Book of Ideas"],_xlfn.XLOOKUP('Overall Table'!AA$1,Table1[[#Headers],[Bike Crashes, intersection turning conflicts]:[Speeding related vehicle crashes]],Table1[[Bike Crashes, intersection turning conflicts]:[Speeding related vehicle crashes]],""),"")="o","O",""))</f>
        <v>✓</v>
      </c>
      <c r="AB64" s="31" t="str" cm="1">
        <f t="array" ref="AB64">IF(_xlfn.XLOOKUP($C64,Table1[[Countermeasure]:[Countermeasure]],_xlfn.XLOOKUP('Overall Table'!AB$1,Table1[[#Headers],[Bike Crashes, intersection turning conflicts]:[Speeding related vehicle crashes]],Table1[[Bike Crashes, intersection turning conflicts]:[Speeding related vehicle crashes]],""),"")="x","✓",IF(_xlfn.XLOOKUP($C64,Table1[NCHRP 926],_xlfn.XLOOKUP('Overall Table'!AB$1,Table1[[#Headers],[Bike Crashes, intersection turning conflicts]:[Speeding related vehicle crashes]],Table1[[Bike Crashes, intersection turning conflicts]:[Speeding related vehicle crashes]],""),"")="o","O",""))</f>
        <v>✓</v>
      </c>
      <c r="AC64" s="31" t="str" cm="1">
        <f t="array" ref="AC64">IF(_xlfn.XLOOKUP($C64,Table1[[Countermeasure]:[Countermeasure]],_xlfn.XLOOKUP('Overall Table'!AC$1,Table1[[#Headers],[Bike Crashes, intersection turning conflicts]:[Speeding related vehicle crashes]],Table1[[Bike Crashes, intersection turning conflicts]:[Speeding related vehicle crashes]],""),"")="x","✓",IF(_xlfn.XLOOKUP($C64,Table1[NCHRP 1033],_xlfn.XLOOKUP('Overall Table'!AC$1,Table1[[#Headers],[Bike Crashes, intersection turning conflicts]:[Speeding related vehicle crashes]],Table1[[Bike Crashes, intersection turning conflicts]:[Speeding related vehicle crashes]],""),"")="o","O",""))</f>
        <v>✓</v>
      </c>
      <c r="AD64" s="62" t="s">
        <v>48</v>
      </c>
    </row>
    <row r="65" spans="1:30" ht="25.5" thickBot="1" x14ac:dyDescent="0.4">
      <c r="A65" s="32" t="str">
        <f>_xlfn.XLOOKUP(C65,Table1[Countermeasure],Table1[Category (FHWA)],"")</f>
        <v>Crosscutting</v>
      </c>
      <c r="B65" s="36" t="str">
        <f>_xlfn.XLOOKUP(A65,'Data Validation'!$A$2:$A$6,'Data Validation'!$C$2:$C$6,"")&amp;"."&amp;COUNTIF('Overall Table'!$A$2:A65,'Overall Table'!A65)</f>
        <v>CR.2</v>
      </c>
      <c r="C65" s="33" t="str">
        <f>'CM attributes, relevance'!A65</f>
        <v>Lighting (segment)</v>
      </c>
      <c r="D65" s="34"/>
      <c r="E65" s="35" t="str">
        <f>_xlfn.XLOOKUP(C65,'CMF source, cost, effectiveness'!$A$2:$A$101,'CMF source, cost, effectiveness'!$K$2:$K$101,"")</f>
        <v>Moderate</v>
      </c>
      <c r="F65" s="35" t="str">
        <f>_xlfn.XLOOKUP(C65,'CMF source, cost, effectiveness'!$A$2:$A$66,'CMF source, cost, effectiveness'!$M$2:$M$66,"")</f>
        <v>More than 2 years</v>
      </c>
      <c r="G65" s="35" t="str">
        <f>_xlfn.XLOOKUP(C65,'CMF source, cost, effectiveness'!$A$2:$A$101,'CMF source, cost, effectiveness'!$L$2:$L$101,"")</f>
        <v>Proven</v>
      </c>
      <c r="H65" s="50" t="str">
        <f>_xlfn.XLOOKUP(C65,Table1[Countermeasure],Table1[Safe System Category],"")</f>
        <v>Safer Roads</v>
      </c>
      <c r="I65" s="62" t="s">
        <v>48</v>
      </c>
      <c r="J65" s="62" t="s">
        <v>48</v>
      </c>
      <c r="K65" s="62" t="s">
        <v>48</v>
      </c>
      <c r="L65" s="1" t="str">
        <f>IF(_xlfn.XLOOKUP($C65,Table1[Countermeasure],Table1[Increase Attentiveness &amp; Awareness])="x","✓","")</f>
        <v>✓</v>
      </c>
      <c r="M65" s="23" t="str">
        <f>IF(OR(_xlfn.XLOOKUP($C65,Table1[Countermeasure],Table1[Signalized Intersection KSI (equity)])="x",_xlfn.XLOOKUP($C65,Table1[Countermeasure],Table1[Bike Crashes, No facility, midblock (equity)])="x",_xlfn.XLOOKUP($C65,Table1[Countermeasure],Table1[Local Intersection, Injury (equity)])="x",_xlfn.XLOOKUP($C65,Table1[Countermeasure],Table1[Posted Speed 40+ mph (equity)])="x"),"✓","")</f>
        <v>✓</v>
      </c>
      <c r="N65" s="2" t="str">
        <f>IF(NOT(ISERROR(SEARCH("CMF",_xlfn.XLOOKUP($C65,'CMF source, cost, effectiveness'!$A$2:$A$62,'CMF source, cost, effectiveness'!$G$2:$G$62)))),_xlfn.XLOOKUP($C65,'CMF source, cost, effectiveness'!$A$2:$A$62,'CMF source, cost, effectiveness'!$G$2:$G$62),"")</f>
        <v>CMF 7774</v>
      </c>
      <c r="O65" s="2" t="str">
        <f>IF(_xlfn.XLOOKUP($C65,Table1[Countermeasure],Table1[Proven Safety Countermeasure])="x","Proven Safety Countermeasures",IF(_xlfn.XLOOKUP($C65,Table1[Countermeasure],Table1[Proven Safety Countermeasure])="Toolbox of Pedestrian Countermeasures","Toolbox of Pedestrian Countermeasures",""))</f>
        <v>Proven Safety Countermeasures</v>
      </c>
      <c r="P65" s="62" t="s">
        <v>48</v>
      </c>
      <c r="Q65" s="62" t="s">
        <v>48</v>
      </c>
      <c r="R65" s="2" t="str">
        <f>IF(_xlfn.XLOOKUP($C65,Table1[Countermeasure],Table1[NCHRP 926])="x","NCHRP 926","")</f>
        <v>NCHRP 926</v>
      </c>
      <c r="S65" s="62" t="s">
        <v>48</v>
      </c>
      <c r="T65" s="62" t="s">
        <v>48</v>
      </c>
      <c r="U65" s="31" t="str" cm="1">
        <f t="array" ref="U65">IF(_xlfn.XLOOKUP($C65,Table1[[Countermeasure]:[Countermeasure]],_xlfn.XLOOKUP('Overall Table'!U$1,Table1[[#Headers],[Bike Crashes, intersection turning conflicts]:[Speeding related vehicle crashes]],Table1[[Bike Crashes, intersection turning conflicts]:[Speeding related vehicle crashes]],""),"")="x","✓",IF(_xlfn.XLOOKUP($C65,Table1[Reduce Vehicle Speeds],_xlfn.XLOOKUP('Overall Table'!U$1,Table1[[#Headers],[Bike Crashes, intersection turning conflicts]:[Speeding related vehicle crashes]],Table1[[Bike Crashes, intersection turning conflicts]:[Speeding related vehicle crashes]],""),"")="o","O",""))</f>
        <v>✓</v>
      </c>
      <c r="V65" s="62" t="s">
        <v>48</v>
      </c>
      <c r="W65" s="31" t="str" cm="1">
        <f t="array" ref="W65">IF(_xlfn.XLOOKUP($C65,Table1[[Countermeasure]:[Countermeasure]],_xlfn.XLOOKUP('Overall Table'!W$1,Table1[[#Headers],[Bike Crashes, intersection turning conflicts]:[Speeding related vehicle crashes]],Table1[[Bike Crashes, intersection turning conflicts]:[Speeding related vehicle crashes]],""),"")="x","✓",IF(_xlfn.XLOOKUP($C65,Table1[Increase Attentiveness &amp; Awareness],_xlfn.XLOOKUP('Overall Table'!W$1,Table1[[#Headers],[Bike Crashes, intersection turning conflicts]:[Speeding related vehicle crashes]],Table1[[Bike Crashes, intersection turning conflicts]:[Speeding related vehicle crashes]],""),"")="o","O",""))</f>
        <v>✓</v>
      </c>
      <c r="X65" s="62" t="s">
        <v>48</v>
      </c>
      <c r="Y65" s="31" t="str" cm="1">
        <f t="array" ref="Y65">IF(_xlfn.XLOOKUP($C65,Table1[[Countermeasure]:[Countermeasure]],_xlfn.XLOOKUP('Overall Table'!Y$1,Table1[[#Headers],[Bike Crashes, intersection turning conflicts]:[Speeding related vehicle crashes]],Table1[[Bike Crashes, intersection turning conflicts]:[Speeding related vehicle crashes]],""),"")="x","✓",IF(_xlfn.XLOOKUP($C65,Table1[Category (FHWA)],_xlfn.XLOOKUP('Overall Table'!Y$1,Table1[[#Headers],[Bike Crashes, intersection turning conflicts]:[Speeding related vehicle crashes]],Table1[[Bike Crashes, intersection turning conflicts]:[Speeding related vehicle crashes]],""),"")="o","O",""))</f>
        <v>✓</v>
      </c>
      <c r="Z65" s="62" t="s">
        <v>48</v>
      </c>
      <c r="AA65" s="62" t="s">
        <v>48</v>
      </c>
      <c r="AB65" s="31" t="str" cm="1">
        <f t="array" ref="AB65">IF(_xlfn.XLOOKUP($C65,Table1[[Countermeasure]:[Countermeasure]],_xlfn.XLOOKUP('Overall Table'!AB$1,Table1[[#Headers],[Bike Crashes, intersection turning conflicts]:[Speeding related vehicle crashes]],Table1[[Bike Crashes, intersection turning conflicts]:[Speeding related vehicle crashes]],""),"")="x","✓",IF(_xlfn.XLOOKUP($C65,Table1[NCHRP 926],_xlfn.XLOOKUP('Overall Table'!AB$1,Table1[[#Headers],[Bike Crashes, intersection turning conflicts]:[Speeding related vehicle crashes]],Table1[[Bike Crashes, intersection turning conflicts]:[Speeding related vehicle crashes]],""),"")="o","O",""))</f>
        <v>✓</v>
      </c>
      <c r="AC65" s="62" t="s">
        <v>48</v>
      </c>
      <c r="AD65" s="62" t="s">
        <v>48</v>
      </c>
    </row>
    <row r="66" spans="1:30" ht="25.5" thickBot="1" x14ac:dyDescent="0.4">
      <c r="A66" s="32" t="str">
        <f>_xlfn.XLOOKUP(C66,Table1[Countermeasure],Table1[Category (FHWA)],"")</f>
        <v>Crosscutting</v>
      </c>
      <c r="B66" s="36" t="str">
        <f>_xlfn.XLOOKUP(A66,'Data Validation'!$A$2:$A$6,'Data Validation'!$C$2:$C$6,"")&amp;"."&amp;COUNTIF('Overall Table'!$A$2:A66,'Overall Table'!A66)</f>
        <v>CR.3</v>
      </c>
      <c r="C66" s="33" t="str">
        <f>'CM attributes, relevance'!A66</f>
        <v>Lighting (intersection)</v>
      </c>
      <c r="D66" s="34"/>
      <c r="E66" s="35" t="str">
        <f>_xlfn.XLOOKUP(C66,'CMF source, cost, effectiveness'!$A$2:$A$101,'CMF source, cost, effectiveness'!$K$2:$K$101,"")</f>
        <v>Low</v>
      </c>
      <c r="F66" s="35" t="str">
        <f>_xlfn.XLOOKUP(C66,'CMF source, cost, effectiveness'!$A$2:$A$66,'CMF source, cost, effectiveness'!$M$2:$M$66,"")</f>
        <v>1 - 2 years</v>
      </c>
      <c r="G66" s="35" t="str">
        <f>_xlfn.XLOOKUP(C66,'CMF source, cost, effectiveness'!$A$2:$A$101,'CMF source, cost, effectiveness'!$L$2:$L$101,"")</f>
        <v>Proven</v>
      </c>
      <c r="H66" s="50" t="str">
        <f>_xlfn.XLOOKUP(C66,Table1[Countermeasure],Table1[Safe System Category],"")</f>
        <v>Safer Roads</v>
      </c>
      <c r="I66" s="62" t="s">
        <v>48</v>
      </c>
      <c r="J66" s="62" t="s">
        <v>48</v>
      </c>
      <c r="K66" s="62" t="s">
        <v>48</v>
      </c>
      <c r="L66" s="1" t="str">
        <f>IF(_xlfn.XLOOKUP($C66,Table1[Countermeasure],Table1[Increase Attentiveness &amp; Awareness])="x","✓","")</f>
        <v>✓</v>
      </c>
      <c r="M66" s="23" t="str">
        <f>IF(OR(_xlfn.XLOOKUP($C66,Table1[Countermeasure],Table1[Signalized Intersection KSI (equity)])="x",_xlfn.XLOOKUP($C66,Table1[Countermeasure],Table1[Bike Crashes, No facility, midblock (equity)])="x",_xlfn.XLOOKUP($C66,Table1[Countermeasure],Table1[Local Intersection, Injury (equity)])="x",_xlfn.XLOOKUP($C66,Table1[Countermeasure],Table1[Posted Speed 40+ mph (equity)])="x"),"✓","")</f>
        <v>✓</v>
      </c>
      <c r="N66" s="2" t="str">
        <f>IF(NOT(ISERROR(SEARCH("CMF",_xlfn.XLOOKUP($C66,'CMF source, cost, effectiveness'!$A$2:$A$62,'CMF source, cost, effectiveness'!$G$2:$G$62)))),_xlfn.XLOOKUP($C66,'CMF source, cost, effectiveness'!$A$2:$A$62,'CMF source, cost, effectiveness'!$G$2:$G$62),"")</f>
        <v>CMF 4462</v>
      </c>
      <c r="O66" s="2" t="str">
        <f>IF(_xlfn.XLOOKUP($C66,Table1[Countermeasure],Table1[Proven Safety Countermeasure])="x","Proven Safety Countermeasures",IF(_xlfn.XLOOKUP($C66,Table1[Countermeasure],Table1[Proven Safety Countermeasure])="Toolbox of Pedestrian Countermeasures","Toolbox of Pedestrian Countermeasures",""))</f>
        <v>Proven Safety Countermeasures</v>
      </c>
      <c r="P66" s="62" t="s">
        <v>48</v>
      </c>
      <c r="Q66" s="62" t="s">
        <v>48</v>
      </c>
      <c r="R66" s="2" t="str">
        <f>IF(_xlfn.XLOOKUP($C66,Table1[Countermeasure],Table1[NCHRP 926])="x","NCHRP 926","")</f>
        <v>NCHRP 926</v>
      </c>
      <c r="S66" s="30" t="str" cm="1">
        <f t="array" ref="S66">IF(_xlfn.XLOOKUP($C66,Table1[[Countermeasure]:[Countermeasure]],_xlfn.XLOOKUP('Overall Table'!S$1,Table1[[#Headers],[Bike Crashes, intersection turning conflicts]:[Speeding related vehicle crashes]],Table1[[Bike Crashes, intersection turning conflicts]:[Speeding related vehicle crashes]],""),"")="x","✓",IF(_xlfn.XLOOKUP($C66,Table1[Countermeasure],_xlfn.XLOOKUP('Overall Table'!S$1,Table1[[#Headers],[Bike Crashes, intersection turning conflicts]:[Speeding related vehicle crashes]],Table1[[Bike Crashes, intersection turning conflicts]:[Speeding related vehicle crashes]],""),"")="o","O",""))</f>
        <v>✓</v>
      </c>
      <c r="T66" s="31" t="str" cm="1">
        <f t="array" ref="T66">IF(_xlfn.XLOOKUP($C66,Table1[[Countermeasure]:[Countermeasure]],_xlfn.XLOOKUP('Overall Table'!T$1,Table1[[#Headers],[Bike Crashes, intersection turning conflicts]:[Speeding related vehicle crashes]],Table1[[Bike Crashes, intersection turning conflicts]:[Speeding related vehicle crashes]],""),"")="x","✓",IF(_xlfn.XLOOKUP($C66,Table1[Remove Severe Conflicts],_xlfn.XLOOKUP('Overall Table'!T$1,Table1[[#Headers],[Bike Crashes, intersection turning conflicts]:[Speeding related vehicle crashes]],Table1[[Bike Crashes, intersection turning conflicts]:[Speeding related vehicle crashes]],""),"")="o","O",""))</f>
        <v>✓</v>
      </c>
      <c r="U66" s="62" t="s">
        <v>48</v>
      </c>
      <c r="V66" s="31" t="str" cm="1">
        <f t="array" ref="V66">IF(_xlfn.XLOOKUP($C66,Table1[[Countermeasure]:[Countermeasure]],_xlfn.XLOOKUP('Overall Table'!V$1,Table1[[#Headers],[Bike Crashes, intersection turning conflicts]:[Speeding related vehicle crashes]],Table1[[Bike Crashes, intersection turning conflicts]:[Speeding related vehicle crashes]],""),"")="x","✓",IF(_xlfn.XLOOKUP($C66,Table1[Manage Conflicts in Time],_xlfn.XLOOKUP('Overall Table'!V$1,Table1[[#Headers],[Bike Crashes, intersection turning conflicts]:[Speeding related vehicle crashes]],Table1[[Bike Crashes, intersection turning conflicts]:[Speeding related vehicle crashes]],""),"")="o","O",""))</f>
        <v>✓</v>
      </c>
      <c r="W66" s="62" t="s">
        <v>48</v>
      </c>
      <c r="X66" s="31" t="str" cm="1">
        <f t="array" ref="X66">IF(_xlfn.XLOOKUP($C66,Table1[[Countermeasure]:[Countermeasure]],_xlfn.XLOOKUP('Overall Table'!X$1,Table1[[#Headers],[Bike Crashes, intersection turning conflicts]:[Speeding related vehicle crashes]],Table1[[Bike Crashes, intersection turning conflicts]:[Speeding related vehicle crashes]],""),"")="x","✓",IF(_xlfn.XLOOKUP($C66,Table1[FHWA helper],_xlfn.XLOOKUP('Overall Table'!X$1,Table1[[#Headers],[Bike Crashes, intersection turning conflicts]:[Speeding related vehicle crashes]],Table1[[Bike Crashes, intersection turning conflicts]:[Speeding related vehicle crashes]],""),"")="o","O",""))</f>
        <v>✓</v>
      </c>
      <c r="Y66" s="62" t="s">
        <v>48</v>
      </c>
      <c r="Z66" s="31" t="str" cm="1">
        <f t="array" ref="Z66">IF(_xlfn.XLOOKUP($C66,Table1[[Countermeasure]:[Countermeasure]],_xlfn.XLOOKUP('Overall Table'!Z$1,Table1[[#Headers],[Bike Crashes, intersection turning conflicts]:[Speeding related vehicle crashes]],Table1[[Bike Crashes, intersection turning conflicts]:[Speeding related vehicle crashes]],""),"")="x","✓",IF(_xlfn.XLOOKUP($C66,Table1[Proven Safety Countermeasure],_xlfn.XLOOKUP('Overall Table'!Z$1,Table1[[#Headers],[Bike Crashes, intersection turning conflicts]:[Speeding related vehicle crashes]],Table1[[Bike Crashes, intersection turning conflicts]:[Speeding related vehicle crashes]],""),"")="o","O",""))</f>
        <v>✓</v>
      </c>
      <c r="AA66" s="31" t="str" cm="1">
        <f t="array" ref="AA66">IF(_xlfn.XLOOKUP($C66,Table1[[Countermeasure]:[Countermeasure]],_xlfn.XLOOKUP('Overall Table'!AA$1,Table1[[#Headers],[Bike Crashes, intersection turning conflicts]:[Speeding related vehicle crashes]],Table1[[Bike Crashes, intersection turning conflicts]:[Speeding related vehicle crashes]],""),"")="x","✓",IF(_xlfn.XLOOKUP($C66,Table1[MnDOT District Roadway Safety "Big Book of Ideas"],_xlfn.XLOOKUP('Overall Table'!AA$1,Table1[[#Headers],[Bike Crashes, intersection turning conflicts]:[Speeding related vehicle crashes]],Table1[[Bike Crashes, intersection turning conflicts]:[Speeding related vehicle crashes]],""),"")="o","O",""))</f>
        <v>✓</v>
      </c>
      <c r="AB66" s="62" t="s">
        <v>48</v>
      </c>
      <c r="AC66" s="62" t="s">
        <v>48</v>
      </c>
      <c r="AD66" s="62" t="s">
        <v>48</v>
      </c>
    </row>
  </sheetData>
  <conditionalFormatting sqref="A2:A66">
    <cfRule type="expression" dxfId="10" priority="7">
      <formula>$A2&lt;&gt;$A1</formula>
    </cfRule>
    <cfRule type="expression" dxfId="9" priority="8">
      <formula>$A2=$A1</formula>
    </cfRule>
  </conditionalFormatting>
  <conditionalFormatting sqref="E1:H996">
    <cfRule type="cellIs" dxfId="8" priority="1" operator="equal">
      <formula>"More than 2 years"</formula>
    </cfRule>
    <cfRule type="cellIs" dxfId="7" priority="2" operator="equal">
      <formula>"1 - 2 years"</formula>
    </cfRule>
    <cfRule type="cellIs" dxfId="6" priority="3" operator="equal">
      <formula>"Less than 1 year"</formula>
    </cfRule>
    <cfRule type="cellIs" dxfId="5" priority="4" operator="equal">
      <formula>"Tried"</formula>
    </cfRule>
    <cfRule type="cellIs" dxfId="4" priority="5" operator="equal">
      <formula>"Documented"</formula>
    </cfRule>
    <cfRule type="cellIs" dxfId="2" priority="10" operator="equal">
      <formula>"Low"</formula>
    </cfRule>
    <cfRule type="cellIs" dxfId="1" priority="11" operator="equal">
      <formula>"Moderate"</formula>
    </cfRule>
    <cfRule type="cellIs" dxfId="0" priority="12" operator="equal">
      <formula>"High"</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6" operator="containsText" id="{C3764274-DBAE-4AFC-8099-D25823B24C02}">
            <xm:f>NOT(ISERROR(SEARCH("Proven",E1)))</xm:f>
            <xm:f>"Proven"</xm:f>
            <x14:dxf>
              <font>
                <color theme="0"/>
              </font>
              <fill>
                <patternFill>
                  <bgColor theme="9" tint="-0.24994659260841701"/>
                </patternFill>
              </fill>
            </x14:dxf>
          </x14:cfRule>
          <xm:sqref>E1:H996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DCFD-ECB4-49E1-B1B4-4ACF662F795B}">
  <dimension ref="A1:X77"/>
  <sheetViews>
    <sheetView zoomScale="70" zoomScaleNormal="70" workbookViewId="0">
      <pane xSplit="7" ySplit="1" topLeftCell="H13" activePane="bottomRight" state="frozen"/>
      <selection pane="topRight" activeCell="G1" sqref="G1"/>
      <selection pane="bottomLeft" activeCell="A2" sqref="A2"/>
      <selection pane="bottomRight" activeCell="L21" sqref="L21"/>
    </sheetView>
  </sheetViews>
  <sheetFormatPr defaultRowHeight="14.5" x14ac:dyDescent="0.35"/>
  <cols>
    <col min="1" max="1" width="34.26953125" style="12" customWidth="1"/>
    <col min="2" max="5" width="16.7265625" style="8" customWidth="1"/>
    <col min="6" max="6" width="16.7265625" style="8" hidden="1" customWidth="1"/>
    <col min="7" max="7" width="21.54296875" style="4" bestFit="1" customWidth="1"/>
    <col min="8" max="8" width="21.54296875" style="4" customWidth="1"/>
    <col min="9" max="9" width="20.7265625" style="8" bestFit="1" customWidth="1"/>
    <col min="10" max="10" width="20.7265625" style="8" customWidth="1"/>
    <col min="11" max="11" width="29.81640625" style="21" bestFit="1" customWidth="1"/>
    <col min="12" max="12" width="15.54296875" style="21" bestFit="1" customWidth="1"/>
    <col min="13" max="13" width="16.54296875" style="21" bestFit="1" customWidth="1"/>
    <col min="14" max="14" width="15.453125" style="8" customWidth="1"/>
    <col min="15" max="15" width="16.1796875" style="8" bestFit="1" customWidth="1"/>
    <col min="16" max="16" width="13.7265625" style="8" bestFit="1" customWidth="1"/>
    <col min="17" max="17" width="12.7265625" style="8" customWidth="1"/>
    <col min="18" max="18" width="14.26953125" style="8" customWidth="1"/>
    <col min="19" max="19" width="15.81640625" style="8" customWidth="1"/>
    <col min="20" max="21" width="12.7265625" style="8" customWidth="1"/>
    <col min="22" max="22" width="13.26953125" style="8" customWidth="1"/>
    <col min="23" max="23" width="13.54296875" style="8" customWidth="1"/>
    <col min="24" max="24" width="12.7265625" style="8" customWidth="1"/>
  </cols>
  <sheetData>
    <row r="1" spans="1:24" s="9" customFormat="1" ht="52.5" thickBot="1" x14ac:dyDescent="0.4">
      <c r="A1" s="10" t="s">
        <v>4</v>
      </c>
      <c r="B1" s="40" t="s">
        <v>6</v>
      </c>
      <c r="C1" s="40" t="s">
        <v>7</v>
      </c>
      <c r="D1" s="40" t="s">
        <v>8</v>
      </c>
      <c r="E1" s="40" t="s">
        <v>9</v>
      </c>
      <c r="F1" s="7" t="s">
        <v>109</v>
      </c>
      <c r="G1" s="5" t="s">
        <v>42</v>
      </c>
      <c r="H1" s="7" t="s">
        <v>261</v>
      </c>
      <c r="I1" s="41" t="s">
        <v>50</v>
      </c>
      <c r="J1" s="41" t="s">
        <v>259</v>
      </c>
      <c r="K1" s="41" t="s">
        <v>51</v>
      </c>
      <c r="L1" s="42" t="s">
        <v>247</v>
      </c>
      <c r="M1" s="42" t="s">
        <v>248</v>
      </c>
      <c r="N1" s="43" t="s">
        <v>66</v>
      </c>
      <c r="O1" s="37" t="s">
        <v>61</v>
      </c>
      <c r="P1" s="43" t="s">
        <v>58</v>
      </c>
      <c r="Q1" s="43" t="s">
        <v>62</v>
      </c>
      <c r="R1" s="37" t="s">
        <v>64</v>
      </c>
      <c r="S1" s="43" t="s">
        <v>63</v>
      </c>
      <c r="T1" s="43" t="s">
        <v>65</v>
      </c>
      <c r="U1" s="37" t="s">
        <v>59</v>
      </c>
      <c r="V1" s="43" t="s">
        <v>67</v>
      </c>
      <c r="W1" s="37" t="s">
        <v>60</v>
      </c>
      <c r="X1" s="43" t="s">
        <v>68</v>
      </c>
    </row>
    <row r="2" spans="1:24" x14ac:dyDescent="0.35">
      <c r="A2" s="11" t="s">
        <v>22</v>
      </c>
      <c r="B2" s="13"/>
      <c r="C2" s="13" t="s">
        <v>48</v>
      </c>
      <c r="D2" s="13"/>
      <c r="E2" s="13"/>
      <c r="F2" s="13">
        <f>_xlfn.XLOOKUP(Table1[[#This Row],[Category (FHWA)]],'Data Validation'!$A$2:$A$6,'Data Validation'!$B$2:$B$6)</f>
        <v>1</v>
      </c>
      <c r="G2" s="38" t="s">
        <v>3</v>
      </c>
      <c r="H2" s="13" t="s">
        <v>266</v>
      </c>
      <c r="I2" s="14" t="s">
        <v>48</v>
      </c>
      <c r="J2" s="14" t="s">
        <v>48</v>
      </c>
      <c r="K2" s="20" t="s">
        <v>80</v>
      </c>
      <c r="L2" s="20"/>
      <c r="M2" s="20"/>
      <c r="N2" s="14"/>
      <c r="O2" s="14"/>
      <c r="P2" s="14" t="s">
        <v>48</v>
      </c>
      <c r="Q2" s="14"/>
      <c r="R2" s="14" t="s">
        <v>48</v>
      </c>
      <c r="S2" s="14"/>
      <c r="T2" s="14" t="s">
        <v>48</v>
      </c>
      <c r="U2" s="14"/>
      <c r="V2" s="14"/>
      <c r="W2" s="14" t="s">
        <v>48</v>
      </c>
      <c r="X2" s="14" t="s">
        <v>48</v>
      </c>
    </row>
    <row r="3" spans="1:24" ht="25" x14ac:dyDescent="0.35">
      <c r="A3" s="11" t="s">
        <v>274</v>
      </c>
      <c r="B3" s="13"/>
      <c r="C3" s="13" t="s">
        <v>48</v>
      </c>
      <c r="D3" s="13"/>
      <c r="E3" s="13"/>
      <c r="F3" s="13">
        <f>_xlfn.XLOOKUP(Table1[[#This Row],[Category (FHWA)]],'Data Validation'!$A$2:$A$6,'Data Validation'!$B$2:$B$6)</f>
        <v>1</v>
      </c>
      <c r="G3" s="38" t="s">
        <v>3</v>
      </c>
      <c r="H3" s="13" t="s">
        <v>266</v>
      </c>
      <c r="I3" s="14"/>
      <c r="J3" s="14"/>
      <c r="K3" s="20" t="s">
        <v>80</v>
      </c>
      <c r="L3" s="20"/>
      <c r="M3" s="20"/>
      <c r="N3" s="14"/>
      <c r="O3" s="14"/>
      <c r="P3" s="14" t="s">
        <v>48</v>
      </c>
      <c r="Q3" s="14"/>
      <c r="R3" s="14" t="s">
        <v>48</v>
      </c>
      <c r="S3" s="14"/>
      <c r="T3" s="14" t="s">
        <v>48</v>
      </c>
      <c r="U3" s="14"/>
      <c r="V3" s="14"/>
      <c r="W3" s="14"/>
      <c r="X3" s="14" t="s">
        <v>48</v>
      </c>
    </row>
    <row r="4" spans="1:24" ht="25" x14ac:dyDescent="0.35">
      <c r="A4" s="11" t="s">
        <v>28</v>
      </c>
      <c r="B4" s="13"/>
      <c r="C4" s="13" t="s">
        <v>48</v>
      </c>
      <c r="D4" s="13"/>
      <c r="E4" s="13"/>
      <c r="F4" s="13">
        <f>_xlfn.XLOOKUP(Table1[[#This Row],[Category (FHWA)]],'Data Validation'!$A$2:$A$6,'Data Validation'!$B$2:$B$6)</f>
        <v>1</v>
      </c>
      <c r="G4" s="38" t="s">
        <v>3</v>
      </c>
      <c r="H4" s="13" t="s">
        <v>266</v>
      </c>
      <c r="I4" s="14"/>
      <c r="J4" s="14"/>
      <c r="K4" s="20" t="s">
        <v>94</v>
      </c>
      <c r="L4" s="20" t="s">
        <v>48</v>
      </c>
      <c r="M4" s="20"/>
      <c r="N4" s="14"/>
      <c r="O4" s="14" t="s">
        <v>48</v>
      </c>
      <c r="P4" s="14"/>
      <c r="Q4" s="14"/>
      <c r="R4" s="14" t="s">
        <v>48</v>
      </c>
      <c r="S4" s="14"/>
      <c r="T4" s="14" t="s">
        <v>48</v>
      </c>
      <c r="U4" s="14"/>
      <c r="V4" s="14" t="s">
        <v>48</v>
      </c>
      <c r="W4" s="14"/>
      <c r="X4" s="14" t="s">
        <v>48</v>
      </c>
    </row>
    <row r="5" spans="1:24" ht="29" x14ac:dyDescent="0.35">
      <c r="A5" s="11" t="s">
        <v>30</v>
      </c>
      <c r="B5" s="13"/>
      <c r="C5" s="13" t="s">
        <v>48</v>
      </c>
      <c r="D5" s="13"/>
      <c r="E5" s="13"/>
      <c r="F5" s="13">
        <f>_xlfn.XLOOKUP(Table1[[#This Row],[Category (FHWA)]],'Data Validation'!$A$2:$A$6,'Data Validation'!$B$2:$B$6)</f>
        <v>1</v>
      </c>
      <c r="G5" s="38" t="s">
        <v>3</v>
      </c>
      <c r="H5" s="13" t="s">
        <v>266</v>
      </c>
      <c r="I5" s="14" t="s">
        <v>48</v>
      </c>
      <c r="J5" s="14" t="s">
        <v>48</v>
      </c>
      <c r="K5" s="20" t="s">
        <v>81</v>
      </c>
      <c r="L5" s="20"/>
      <c r="M5" s="20"/>
      <c r="N5" s="14"/>
      <c r="O5" s="14"/>
      <c r="P5" s="14"/>
      <c r="Q5" s="14"/>
      <c r="R5" s="14" t="s">
        <v>48</v>
      </c>
      <c r="S5" s="14"/>
      <c r="T5" s="14" t="s">
        <v>48</v>
      </c>
      <c r="U5" s="14"/>
      <c r="V5" s="14"/>
      <c r="W5" s="14" t="s">
        <v>48</v>
      </c>
      <c r="X5" s="14" t="s">
        <v>48</v>
      </c>
    </row>
    <row r="6" spans="1:24" x14ac:dyDescent="0.35">
      <c r="A6" s="11" t="s">
        <v>35</v>
      </c>
      <c r="B6" s="13"/>
      <c r="C6" s="13" t="s">
        <v>48</v>
      </c>
      <c r="D6" s="13"/>
      <c r="E6" s="13"/>
      <c r="F6" s="13">
        <f>_xlfn.XLOOKUP(Table1[[#This Row],[Category (FHWA)]],'Data Validation'!$A$2:$A$6,'Data Validation'!$B$2:$B$6)</f>
        <v>1</v>
      </c>
      <c r="G6" s="38" t="s">
        <v>3</v>
      </c>
      <c r="H6" s="13" t="s">
        <v>266</v>
      </c>
      <c r="I6" s="14" t="s">
        <v>48</v>
      </c>
      <c r="J6" s="14" t="s">
        <v>48</v>
      </c>
      <c r="K6" s="20" t="s">
        <v>80</v>
      </c>
      <c r="L6" s="20"/>
      <c r="M6" s="20"/>
      <c r="N6" s="14"/>
      <c r="O6" s="14"/>
      <c r="P6" s="14" t="s">
        <v>48</v>
      </c>
      <c r="Q6" s="14"/>
      <c r="R6" s="14" t="s">
        <v>48</v>
      </c>
      <c r="S6" s="14"/>
      <c r="T6" s="14" t="s">
        <v>48</v>
      </c>
      <c r="U6" s="14"/>
      <c r="V6" s="14"/>
      <c r="W6" s="14" t="s">
        <v>48</v>
      </c>
      <c r="X6" s="14" t="s">
        <v>48</v>
      </c>
    </row>
    <row r="7" spans="1:24" ht="29" x14ac:dyDescent="0.35">
      <c r="A7" s="11" t="s">
        <v>40</v>
      </c>
      <c r="B7" s="13"/>
      <c r="C7" s="13" t="s">
        <v>48</v>
      </c>
      <c r="D7" s="13"/>
      <c r="E7" s="13"/>
      <c r="F7" s="13">
        <f>_xlfn.XLOOKUP(Table1[[#This Row],[Category (FHWA)]],'Data Validation'!$A$2:$A$6,'Data Validation'!$B$2:$B$6)</f>
        <v>1</v>
      </c>
      <c r="G7" s="38" t="s">
        <v>3</v>
      </c>
      <c r="H7" s="13" t="s">
        <v>266</v>
      </c>
      <c r="I7" s="14"/>
      <c r="J7" s="14"/>
      <c r="K7" s="20" t="s">
        <v>82</v>
      </c>
      <c r="L7" s="20"/>
      <c r="M7" s="20"/>
      <c r="N7" s="14"/>
      <c r="O7" s="14"/>
      <c r="P7" s="14" t="s">
        <v>48</v>
      </c>
      <c r="Q7" s="14"/>
      <c r="R7" s="14" t="s">
        <v>48</v>
      </c>
      <c r="S7" s="14"/>
      <c r="T7" s="14" t="s">
        <v>48</v>
      </c>
      <c r="U7" s="14" t="s">
        <v>48</v>
      </c>
      <c r="V7" s="14" t="s">
        <v>48</v>
      </c>
      <c r="W7" s="14"/>
      <c r="X7" s="14" t="s">
        <v>48</v>
      </c>
    </row>
    <row r="8" spans="1:24" ht="29" x14ac:dyDescent="0.35">
      <c r="A8" s="11" t="s">
        <v>69</v>
      </c>
      <c r="B8" s="13"/>
      <c r="C8" s="13" t="s">
        <v>48</v>
      </c>
      <c r="D8" s="13"/>
      <c r="E8" s="13"/>
      <c r="F8" s="13">
        <f>_xlfn.XLOOKUP(Table1[[#This Row],[Category (FHWA)]],'Data Validation'!$A$2:$A$6,'Data Validation'!$B$2:$B$6)</f>
        <v>1</v>
      </c>
      <c r="G8" s="38" t="s">
        <v>3</v>
      </c>
      <c r="H8" s="13" t="s">
        <v>266</v>
      </c>
      <c r="I8" s="14"/>
      <c r="J8" s="14"/>
      <c r="K8" s="20" t="s">
        <v>82</v>
      </c>
      <c r="L8" s="20"/>
      <c r="M8" s="20"/>
      <c r="N8" s="14"/>
      <c r="O8" s="14"/>
      <c r="P8" s="14" t="s">
        <v>48</v>
      </c>
      <c r="Q8" s="14"/>
      <c r="R8" s="14" t="s">
        <v>48</v>
      </c>
      <c r="S8" s="14"/>
      <c r="T8" s="14" t="s">
        <v>48</v>
      </c>
      <c r="U8" s="14"/>
      <c r="V8" s="14"/>
      <c r="W8" s="14" t="s">
        <v>48</v>
      </c>
      <c r="X8" s="14" t="s">
        <v>48</v>
      </c>
    </row>
    <row r="9" spans="1:24" ht="29" x14ac:dyDescent="0.35">
      <c r="A9" s="11" t="s">
        <v>41</v>
      </c>
      <c r="B9" s="13"/>
      <c r="C9" s="13"/>
      <c r="D9" s="13"/>
      <c r="E9" s="13" t="s">
        <v>48</v>
      </c>
      <c r="F9" s="13">
        <f>_xlfn.XLOOKUP(Table1[[#This Row],[Category (FHWA)]],'Data Validation'!$A$2:$A$6,'Data Validation'!$B$2:$B$6)</f>
        <v>1</v>
      </c>
      <c r="G9" s="38" t="s">
        <v>3</v>
      </c>
      <c r="H9" s="13" t="s">
        <v>266</v>
      </c>
      <c r="I9" s="14"/>
      <c r="J9" s="14"/>
      <c r="K9" s="20" t="s">
        <v>83</v>
      </c>
      <c r="L9" s="20"/>
      <c r="M9" s="20"/>
      <c r="N9" s="14"/>
      <c r="O9" s="14"/>
      <c r="P9" s="14"/>
      <c r="Q9" s="14"/>
      <c r="R9" s="14"/>
      <c r="S9" s="14"/>
      <c r="T9" s="14"/>
      <c r="U9" s="14"/>
      <c r="V9" s="14"/>
      <c r="W9" s="14" t="s">
        <v>48</v>
      </c>
      <c r="X9" s="14" t="s">
        <v>48</v>
      </c>
    </row>
    <row r="10" spans="1:24" x14ac:dyDescent="0.35">
      <c r="A10" s="11" t="s">
        <v>272</v>
      </c>
      <c r="B10" s="13"/>
      <c r="C10" s="13"/>
      <c r="D10" s="13"/>
      <c r="E10" s="13"/>
      <c r="F10" s="13">
        <f>_xlfn.XLOOKUP(Table1[[#This Row],[Category (FHWA)]],'Data Validation'!$A$2:$A$6,'Data Validation'!$B$2:$B$6)</f>
        <v>1</v>
      </c>
      <c r="G10" s="38" t="s">
        <v>3</v>
      </c>
      <c r="H10" s="13" t="s">
        <v>264</v>
      </c>
      <c r="I10" s="14"/>
      <c r="J10" s="14" t="s">
        <v>48</v>
      </c>
      <c r="K10" s="20"/>
      <c r="L10" s="20"/>
      <c r="M10" s="20"/>
      <c r="N10" s="14"/>
      <c r="O10" s="14"/>
      <c r="P10" s="14"/>
      <c r="Q10" s="14"/>
      <c r="R10" s="14"/>
      <c r="S10" s="14"/>
      <c r="T10" s="14"/>
      <c r="U10" s="14"/>
      <c r="V10" s="14"/>
      <c r="W10" s="14"/>
      <c r="X10" s="14" t="s">
        <v>48</v>
      </c>
    </row>
    <row r="11" spans="1:24" x14ac:dyDescent="0.35">
      <c r="A11" s="11" t="s">
        <v>273</v>
      </c>
      <c r="B11" s="13"/>
      <c r="C11" s="13"/>
      <c r="D11" s="13"/>
      <c r="E11" s="13"/>
      <c r="F11" s="13">
        <f>_xlfn.XLOOKUP(Table1[[#This Row],[Category (FHWA)]],'Data Validation'!$A$2:$A$6,'Data Validation'!$B$2:$B$6)</f>
        <v>1</v>
      </c>
      <c r="G11" s="38" t="s">
        <v>3</v>
      </c>
      <c r="H11" s="13" t="s">
        <v>265</v>
      </c>
      <c r="I11" s="14"/>
      <c r="J11" s="14" t="s">
        <v>48</v>
      </c>
      <c r="K11" s="20"/>
      <c r="L11" s="20"/>
      <c r="M11" s="20"/>
      <c r="N11" s="14"/>
      <c r="O11" s="14"/>
      <c r="P11" s="14"/>
      <c r="Q11" s="14"/>
      <c r="R11" s="14"/>
      <c r="S11" s="14"/>
      <c r="T11" s="14"/>
      <c r="U11" s="14"/>
      <c r="V11" s="14"/>
      <c r="W11" s="14"/>
      <c r="X11" s="14" t="s">
        <v>48</v>
      </c>
    </row>
    <row r="12" spans="1:24" x14ac:dyDescent="0.35">
      <c r="A12" s="11" t="s">
        <v>36</v>
      </c>
      <c r="B12" s="13" t="s">
        <v>48</v>
      </c>
      <c r="C12" s="13" t="s">
        <v>48</v>
      </c>
      <c r="D12" s="13"/>
      <c r="E12" s="13"/>
      <c r="F12" s="13">
        <f>_xlfn.XLOOKUP(Table1[[#This Row],[Category (FHWA)]],'Data Validation'!$A$2:$A$6,'Data Validation'!$B$2:$B$6)</f>
        <v>2</v>
      </c>
      <c r="G12" s="39" t="s">
        <v>43</v>
      </c>
      <c r="H12" s="46" t="s">
        <v>267</v>
      </c>
      <c r="I12" s="14"/>
      <c r="J12" s="14"/>
      <c r="K12" s="20" t="s">
        <v>94</v>
      </c>
      <c r="L12" s="20" t="s">
        <v>48</v>
      </c>
      <c r="M12" s="20"/>
      <c r="N12" s="14" t="s">
        <v>48</v>
      </c>
      <c r="O12" s="14" t="s">
        <v>48</v>
      </c>
      <c r="P12" s="14"/>
      <c r="Q12" s="14" t="s">
        <v>48</v>
      </c>
      <c r="R12" s="14"/>
      <c r="S12" s="14" t="s">
        <v>48</v>
      </c>
      <c r="T12" s="14" t="s">
        <v>48</v>
      </c>
      <c r="U12" s="14" t="s">
        <v>48</v>
      </c>
      <c r="V12" s="14" t="s">
        <v>48</v>
      </c>
      <c r="W12" s="14"/>
      <c r="X12" s="14"/>
    </row>
    <row r="13" spans="1:24" ht="25" x14ac:dyDescent="0.35">
      <c r="A13" s="11" t="s">
        <v>276</v>
      </c>
      <c r="B13" s="13" t="s">
        <v>48</v>
      </c>
      <c r="C13" s="13" t="s">
        <v>48</v>
      </c>
      <c r="D13" s="13"/>
      <c r="E13" s="13"/>
      <c r="F13" s="13">
        <f>_xlfn.XLOOKUP(Table1[[#This Row],[Category (FHWA)]],'Data Validation'!$A$2:$A$6,'Data Validation'!$B$2:$B$6)</f>
        <v>2</v>
      </c>
      <c r="G13" s="38" t="s">
        <v>43</v>
      </c>
      <c r="H13" s="46" t="s">
        <v>267</v>
      </c>
      <c r="I13" s="13" t="s">
        <v>48</v>
      </c>
      <c r="J13" s="13"/>
      <c r="K13" s="20" t="s">
        <v>80</v>
      </c>
      <c r="L13" s="20" t="s">
        <v>48</v>
      </c>
      <c r="M13" s="20"/>
      <c r="N13" s="14" t="s">
        <v>48</v>
      </c>
      <c r="O13" s="14"/>
      <c r="P13" s="14" t="s">
        <v>48</v>
      </c>
      <c r="Q13" s="14"/>
      <c r="R13" s="14" t="s">
        <v>48</v>
      </c>
      <c r="S13" s="14" t="s">
        <v>48</v>
      </c>
      <c r="T13" s="14" t="s">
        <v>48</v>
      </c>
      <c r="U13" s="14"/>
      <c r="V13" s="14" t="s">
        <v>48</v>
      </c>
      <c r="W13" s="14"/>
      <c r="X13" s="14"/>
    </row>
    <row r="14" spans="1:24" ht="29" x14ac:dyDescent="0.35">
      <c r="A14" s="11" t="s">
        <v>27</v>
      </c>
      <c r="B14" s="13" t="s">
        <v>48</v>
      </c>
      <c r="C14" s="13" t="s">
        <v>48</v>
      </c>
      <c r="D14" s="13"/>
      <c r="E14" s="13"/>
      <c r="F14" s="13">
        <f>_xlfn.XLOOKUP(Table1[[#This Row],[Category (FHWA)]],'Data Validation'!$A$2:$A$6,'Data Validation'!$B$2:$B$6)</f>
        <v>2</v>
      </c>
      <c r="G14" s="38" t="s">
        <v>43</v>
      </c>
      <c r="H14" s="46" t="s">
        <v>267</v>
      </c>
      <c r="I14" s="13" t="s">
        <v>48</v>
      </c>
      <c r="J14" s="13"/>
      <c r="K14" s="20" t="s">
        <v>82</v>
      </c>
      <c r="L14" s="20" t="s">
        <v>48</v>
      </c>
      <c r="M14" s="20"/>
      <c r="N14" s="14"/>
      <c r="O14" s="14"/>
      <c r="P14" s="14"/>
      <c r="Q14" s="14"/>
      <c r="R14" s="14"/>
      <c r="S14" s="14" t="s">
        <v>48</v>
      </c>
      <c r="T14" s="14" t="s">
        <v>48</v>
      </c>
      <c r="U14" s="14" t="s">
        <v>48</v>
      </c>
      <c r="V14" s="14" t="s">
        <v>48</v>
      </c>
      <c r="W14" s="14"/>
      <c r="X14" s="14"/>
    </row>
    <row r="15" spans="1:24" ht="29" x14ac:dyDescent="0.35">
      <c r="A15" s="11" t="s">
        <v>97</v>
      </c>
      <c r="B15" s="13" t="s">
        <v>48</v>
      </c>
      <c r="C15" s="13"/>
      <c r="D15" s="13"/>
      <c r="E15" s="13" t="s">
        <v>48</v>
      </c>
      <c r="F15" s="13">
        <f>_xlfn.XLOOKUP(Table1[[#This Row],[Category (FHWA)]],'Data Validation'!$A$2:$A$6,'Data Validation'!$B$2:$B$6)</f>
        <v>2</v>
      </c>
      <c r="G15" s="38" t="s">
        <v>43</v>
      </c>
      <c r="H15" s="46" t="s">
        <v>267</v>
      </c>
      <c r="I15" s="20" t="s">
        <v>283</v>
      </c>
      <c r="J15" s="14"/>
      <c r="K15" s="20" t="s">
        <v>94</v>
      </c>
      <c r="L15" s="20" t="s">
        <v>48</v>
      </c>
      <c r="M15" s="20"/>
      <c r="N15" s="14" t="s">
        <v>48</v>
      </c>
      <c r="O15" s="14"/>
      <c r="P15" s="14"/>
      <c r="Q15" s="14" t="s">
        <v>48</v>
      </c>
      <c r="R15" s="14"/>
      <c r="S15" s="14" t="s">
        <v>48</v>
      </c>
      <c r="T15" s="14" t="s">
        <v>48</v>
      </c>
      <c r="U15" s="14"/>
      <c r="V15" s="14" t="s">
        <v>48</v>
      </c>
      <c r="W15" s="14"/>
      <c r="X15" s="14"/>
    </row>
    <row r="16" spans="1:24" x14ac:dyDescent="0.35">
      <c r="A16" s="11" t="s">
        <v>49</v>
      </c>
      <c r="B16" s="13" t="s">
        <v>48</v>
      </c>
      <c r="C16" s="13"/>
      <c r="D16" s="13"/>
      <c r="E16" s="13"/>
      <c r="F16" s="13">
        <f>_xlfn.XLOOKUP(Table1[[#This Row],[Category (FHWA)]],'Data Validation'!$A$2:$A$6,'Data Validation'!$B$2:$B$6)</f>
        <v>2</v>
      </c>
      <c r="G16" s="39" t="s">
        <v>43</v>
      </c>
      <c r="H16" s="46" t="s">
        <v>267</v>
      </c>
      <c r="I16" s="14" t="s">
        <v>48</v>
      </c>
      <c r="J16" s="14"/>
      <c r="K16" s="20" t="s">
        <v>80</v>
      </c>
      <c r="L16" s="20" t="s">
        <v>48</v>
      </c>
      <c r="M16" s="20"/>
      <c r="N16" s="14" t="s">
        <v>48</v>
      </c>
      <c r="O16" s="14"/>
      <c r="P16" s="14" t="s">
        <v>48</v>
      </c>
      <c r="Q16" s="14"/>
      <c r="R16" s="14" t="s">
        <v>48</v>
      </c>
      <c r="S16" s="14"/>
      <c r="T16" s="14" t="s">
        <v>48</v>
      </c>
      <c r="U16" s="14"/>
      <c r="V16" s="14"/>
      <c r="W16" s="14" t="s">
        <v>48</v>
      </c>
      <c r="X16" s="14"/>
    </row>
    <row r="17" spans="1:24" ht="29" x14ac:dyDescent="0.35">
      <c r="A17" s="11" t="s">
        <v>23</v>
      </c>
      <c r="B17" s="13" t="s">
        <v>48</v>
      </c>
      <c r="C17" s="13"/>
      <c r="D17" s="13"/>
      <c r="E17" s="13"/>
      <c r="F17" s="13">
        <f>_xlfn.XLOOKUP(Table1[[#This Row],[Category (FHWA)]],'Data Validation'!$A$2:$A$6,'Data Validation'!$B$2:$B$6)</f>
        <v>2</v>
      </c>
      <c r="G17" s="38" t="s">
        <v>43</v>
      </c>
      <c r="H17" s="46" t="s">
        <v>267</v>
      </c>
      <c r="I17" s="14" t="s">
        <v>48</v>
      </c>
      <c r="J17" s="14"/>
      <c r="K17" s="20" t="s">
        <v>81</v>
      </c>
      <c r="L17" s="20" t="s">
        <v>48</v>
      </c>
      <c r="M17" s="20"/>
      <c r="N17" s="14" t="s">
        <v>48</v>
      </c>
      <c r="O17" s="14"/>
      <c r="P17" s="14" t="s">
        <v>48</v>
      </c>
      <c r="Q17" s="14"/>
      <c r="R17" s="14" t="s">
        <v>48</v>
      </c>
      <c r="S17" s="14"/>
      <c r="T17" s="14" t="s">
        <v>48</v>
      </c>
      <c r="U17" s="14"/>
      <c r="V17" s="14"/>
      <c r="W17" s="14" t="s">
        <v>48</v>
      </c>
      <c r="X17" s="14"/>
    </row>
    <row r="18" spans="1:24" x14ac:dyDescent="0.35">
      <c r="A18" s="11" t="s">
        <v>29</v>
      </c>
      <c r="B18" s="13" t="s">
        <v>48</v>
      </c>
      <c r="C18" s="13"/>
      <c r="D18" s="13"/>
      <c r="E18" s="13"/>
      <c r="F18" s="13">
        <f>_xlfn.XLOOKUP(Table1[[#This Row],[Category (FHWA)]],'Data Validation'!$A$2:$A$6,'Data Validation'!$B$2:$B$6)</f>
        <v>2</v>
      </c>
      <c r="G18" s="38" t="s">
        <v>43</v>
      </c>
      <c r="H18" s="46" t="s">
        <v>267</v>
      </c>
      <c r="I18" s="14"/>
      <c r="J18" s="14"/>
      <c r="K18" s="20" t="s">
        <v>80</v>
      </c>
      <c r="L18" s="20"/>
      <c r="M18" s="20"/>
      <c r="N18" s="14" t="s">
        <v>48</v>
      </c>
      <c r="O18" s="14"/>
      <c r="P18" s="14" t="s">
        <v>48</v>
      </c>
      <c r="Q18" s="14"/>
      <c r="R18" s="14"/>
      <c r="S18" s="14" t="s">
        <v>48</v>
      </c>
      <c r="T18" s="14" t="s">
        <v>48</v>
      </c>
      <c r="U18" s="14"/>
      <c r="V18" s="14"/>
      <c r="W18" s="14" t="s">
        <v>48</v>
      </c>
      <c r="X18" s="14"/>
    </row>
    <row r="19" spans="1:24" x14ac:dyDescent="0.35">
      <c r="A19" s="11" t="s">
        <v>37</v>
      </c>
      <c r="B19" s="13"/>
      <c r="C19" s="13"/>
      <c r="D19" s="13" t="s">
        <v>48</v>
      </c>
      <c r="E19" s="13"/>
      <c r="F19" s="13">
        <f>_xlfn.XLOOKUP(Table1[[#This Row],[Category (FHWA)]],'Data Validation'!$A$2:$A$6,'Data Validation'!$B$2:$B$6)</f>
        <v>2</v>
      </c>
      <c r="G19" s="39" t="s">
        <v>43</v>
      </c>
      <c r="H19" s="46" t="s">
        <v>267</v>
      </c>
      <c r="I19" s="14" t="s">
        <v>48</v>
      </c>
      <c r="J19" s="14"/>
      <c r="K19" s="20" t="s">
        <v>94</v>
      </c>
      <c r="L19" s="20" t="s">
        <v>48</v>
      </c>
      <c r="M19" s="20"/>
      <c r="N19" s="14" t="s">
        <v>48</v>
      </c>
      <c r="O19" s="14" t="s">
        <v>48</v>
      </c>
      <c r="P19" s="14"/>
      <c r="Q19" s="14" t="s">
        <v>48</v>
      </c>
      <c r="R19" s="14"/>
      <c r="S19" s="14" t="s">
        <v>48</v>
      </c>
      <c r="T19" s="14" t="s">
        <v>48</v>
      </c>
      <c r="U19" s="14" t="s">
        <v>48</v>
      </c>
      <c r="V19" s="14" t="s">
        <v>48</v>
      </c>
      <c r="W19" s="14" t="s">
        <v>48</v>
      </c>
      <c r="X19" s="14"/>
    </row>
    <row r="20" spans="1:24" ht="29" x14ac:dyDescent="0.35">
      <c r="A20" s="11" t="s">
        <v>286</v>
      </c>
      <c r="B20" s="13"/>
      <c r="C20" s="13"/>
      <c r="D20" s="13" t="s">
        <v>48</v>
      </c>
      <c r="E20" s="13"/>
      <c r="F20" s="13"/>
      <c r="G20" s="38" t="s">
        <v>43</v>
      </c>
      <c r="H20" s="46" t="s">
        <v>267</v>
      </c>
      <c r="I20" s="14" t="s">
        <v>48</v>
      </c>
      <c r="J20" s="14"/>
      <c r="K20" s="20" t="s">
        <v>82</v>
      </c>
      <c r="L20" s="20" t="s">
        <v>48</v>
      </c>
      <c r="M20" s="20"/>
      <c r="N20" s="14"/>
      <c r="O20" s="14"/>
      <c r="P20" s="14" t="s">
        <v>48</v>
      </c>
      <c r="Q20" s="14"/>
      <c r="R20" s="14"/>
      <c r="S20" s="14"/>
      <c r="T20" s="14" t="s">
        <v>48</v>
      </c>
      <c r="U20" s="14"/>
      <c r="V20" s="14"/>
      <c r="W20" s="14" t="s">
        <v>48</v>
      </c>
      <c r="X20" s="14"/>
    </row>
    <row r="21" spans="1:24" ht="29" x14ac:dyDescent="0.35">
      <c r="A21" s="11" t="s">
        <v>287</v>
      </c>
      <c r="B21" s="13"/>
      <c r="C21" s="13"/>
      <c r="D21" s="13"/>
      <c r="E21" s="13" t="s">
        <v>48</v>
      </c>
      <c r="F21" s="13"/>
      <c r="G21" s="38" t="s">
        <v>43</v>
      </c>
      <c r="H21" s="46" t="s">
        <v>267</v>
      </c>
      <c r="I21" s="14" t="s">
        <v>48</v>
      </c>
      <c r="J21" s="14"/>
      <c r="K21" s="20" t="s">
        <v>82</v>
      </c>
      <c r="L21" s="20" t="s">
        <v>48</v>
      </c>
      <c r="M21" s="20"/>
      <c r="N21" s="14"/>
      <c r="O21" s="14"/>
      <c r="P21" s="14" t="s">
        <v>48</v>
      </c>
      <c r="Q21" s="14"/>
      <c r="R21" s="14"/>
      <c r="S21" s="14"/>
      <c r="T21" s="14" t="s">
        <v>48</v>
      </c>
      <c r="U21" s="14"/>
      <c r="V21" s="14"/>
      <c r="W21" s="14"/>
      <c r="X21" s="14"/>
    </row>
    <row r="22" spans="1:24" ht="29" x14ac:dyDescent="0.35">
      <c r="A22" s="11" t="s">
        <v>96</v>
      </c>
      <c r="B22" s="13"/>
      <c r="C22" s="13"/>
      <c r="D22" s="13"/>
      <c r="E22" s="13" t="s">
        <v>48</v>
      </c>
      <c r="F22" s="13">
        <f>_xlfn.XLOOKUP(Table1[[#This Row],[Category (FHWA)]],'Data Validation'!$A$2:$A$6,'Data Validation'!$B$2:$B$6)</f>
        <v>2</v>
      </c>
      <c r="G22" s="38" t="s">
        <v>43</v>
      </c>
      <c r="H22" s="46" t="s">
        <v>267</v>
      </c>
      <c r="I22" s="14" t="s">
        <v>48</v>
      </c>
      <c r="J22" s="14"/>
      <c r="K22" s="20" t="s">
        <v>82</v>
      </c>
      <c r="L22" s="20" t="s">
        <v>48</v>
      </c>
      <c r="M22" s="20"/>
      <c r="N22" s="14" t="s">
        <v>48</v>
      </c>
      <c r="O22" s="14" t="s">
        <v>48</v>
      </c>
      <c r="P22" s="14"/>
      <c r="Q22" s="14" t="s">
        <v>48</v>
      </c>
      <c r="R22" s="14"/>
      <c r="S22" s="14" t="s">
        <v>48</v>
      </c>
      <c r="T22" s="14" t="s">
        <v>48</v>
      </c>
      <c r="U22" s="14" t="s">
        <v>48</v>
      </c>
      <c r="V22" s="14" t="s">
        <v>48</v>
      </c>
      <c r="W22" s="14" t="s">
        <v>48</v>
      </c>
      <c r="X22" s="14"/>
    </row>
    <row r="23" spans="1:24" ht="25" x14ac:dyDescent="0.35">
      <c r="A23" s="11" t="s">
        <v>268</v>
      </c>
      <c r="B23" s="13"/>
      <c r="C23" s="13"/>
      <c r="D23" s="13"/>
      <c r="E23" s="13"/>
      <c r="F23" s="13">
        <f>_xlfn.XLOOKUP(Table1[[#This Row],[Category (FHWA)]],'Data Validation'!$A$2:$A$6,'Data Validation'!$B$2:$B$6)</f>
        <v>2</v>
      </c>
      <c r="G23" s="38" t="s">
        <v>43</v>
      </c>
      <c r="H23" s="13" t="s">
        <v>264</v>
      </c>
      <c r="I23" s="14"/>
      <c r="J23" s="14" t="s">
        <v>48</v>
      </c>
      <c r="K23" s="20"/>
      <c r="L23" s="20"/>
      <c r="M23" s="20"/>
      <c r="N23" s="14" t="s">
        <v>48</v>
      </c>
      <c r="O23" s="14"/>
      <c r="P23" s="14"/>
      <c r="Q23" s="14"/>
      <c r="R23" s="14" t="s">
        <v>48</v>
      </c>
      <c r="S23" s="14" t="s">
        <v>48</v>
      </c>
      <c r="T23" s="14"/>
      <c r="U23" s="14"/>
      <c r="V23" s="14"/>
      <c r="W23" s="14"/>
      <c r="X23" s="14"/>
    </row>
    <row r="24" spans="1:24" x14ac:dyDescent="0.35">
      <c r="A24" s="11" t="s">
        <v>269</v>
      </c>
      <c r="B24" s="13"/>
      <c r="C24" s="13"/>
      <c r="D24" s="13"/>
      <c r="E24" s="13"/>
      <c r="F24" s="13">
        <f>_xlfn.XLOOKUP(Table1[[#This Row],[Category (FHWA)]],'Data Validation'!$A$2:$A$6,'Data Validation'!$B$2:$B$6)</f>
        <v>2</v>
      </c>
      <c r="G24" s="38" t="s">
        <v>43</v>
      </c>
      <c r="H24" s="13" t="s">
        <v>264</v>
      </c>
      <c r="I24" s="14"/>
      <c r="J24" s="14" t="s">
        <v>48</v>
      </c>
      <c r="K24" s="20"/>
      <c r="L24" s="20"/>
      <c r="M24" s="20"/>
      <c r="N24" s="14" t="s">
        <v>48</v>
      </c>
      <c r="O24" s="14"/>
      <c r="P24" s="14"/>
      <c r="Q24" s="14"/>
      <c r="R24" s="14" t="s">
        <v>48</v>
      </c>
      <c r="S24" s="14" t="s">
        <v>48</v>
      </c>
      <c r="T24" s="14"/>
      <c r="U24" s="14"/>
      <c r="V24" s="14"/>
      <c r="W24" s="14"/>
      <c r="X24" s="14"/>
    </row>
    <row r="25" spans="1:24" x14ac:dyDescent="0.35">
      <c r="A25" s="11" t="s">
        <v>275</v>
      </c>
      <c r="B25" s="13" t="s">
        <v>48</v>
      </c>
      <c r="C25" s="13"/>
      <c r="D25" s="13"/>
      <c r="E25" s="13"/>
      <c r="F25" s="13">
        <f>_xlfn.XLOOKUP(Table1[[#This Row],[Category (FHWA)]],'Data Validation'!$A$2:$A$6,'Data Validation'!$B$2:$B$6)</f>
        <v>3</v>
      </c>
      <c r="G25" s="38" t="s">
        <v>44</v>
      </c>
      <c r="H25" s="46" t="s">
        <v>267</v>
      </c>
      <c r="I25" s="14" t="s">
        <v>48</v>
      </c>
      <c r="J25" s="14"/>
      <c r="K25" s="20" t="s">
        <v>84</v>
      </c>
      <c r="L25" s="20"/>
      <c r="M25" s="20"/>
      <c r="N25" s="14"/>
      <c r="O25" s="14"/>
      <c r="P25" s="14" t="s">
        <v>48</v>
      </c>
      <c r="Q25" s="14"/>
      <c r="R25" s="14"/>
      <c r="S25" s="14"/>
      <c r="T25" s="14"/>
      <c r="U25" s="14"/>
      <c r="V25" s="14"/>
      <c r="W25" s="14" t="s">
        <v>48</v>
      </c>
      <c r="X25" s="14" t="s">
        <v>48</v>
      </c>
    </row>
    <row r="26" spans="1:24" x14ac:dyDescent="0.35">
      <c r="A26" s="11" t="s">
        <v>277</v>
      </c>
      <c r="B26" s="13" t="s">
        <v>48</v>
      </c>
      <c r="C26" s="13"/>
      <c r="D26" s="13"/>
      <c r="E26" s="13"/>
      <c r="F26" s="13">
        <f>_xlfn.XLOOKUP(Table1[[#This Row],[Category (FHWA)]],'Data Validation'!$A$2:$A$6,'Data Validation'!$B$2:$B$6)</f>
        <v>3</v>
      </c>
      <c r="G26" s="38" t="s">
        <v>44</v>
      </c>
      <c r="H26" s="46" t="s">
        <v>267</v>
      </c>
      <c r="I26" s="14"/>
      <c r="J26" s="14"/>
      <c r="K26" s="20" t="s">
        <v>85</v>
      </c>
      <c r="L26" s="20"/>
      <c r="M26" s="20"/>
      <c r="N26" s="14"/>
      <c r="O26" s="14"/>
      <c r="P26" s="14" t="s">
        <v>48</v>
      </c>
      <c r="Q26" s="14"/>
      <c r="R26" s="14" t="s">
        <v>48</v>
      </c>
      <c r="S26" s="14"/>
      <c r="T26" s="14"/>
      <c r="U26" s="14"/>
      <c r="V26" s="14"/>
      <c r="W26" s="14" t="s">
        <v>48</v>
      </c>
      <c r="X26" s="14" t="s">
        <v>48</v>
      </c>
    </row>
    <row r="27" spans="1:24" x14ac:dyDescent="0.35">
      <c r="A27" s="11" t="s">
        <v>33</v>
      </c>
      <c r="B27" s="13" t="s">
        <v>48</v>
      </c>
      <c r="C27" s="13"/>
      <c r="D27" s="13"/>
      <c r="E27" s="13"/>
      <c r="F27" s="13">
        <f>_xlfn.XLOOKUP(Table1[[#This Row],[Category (FHWA)]],'Data Validation'!$A$2:$A$6,'Data Validation'!$B$2:$B$6)</f>
        <v>3</v>
      </c>
      <c r="G27" s="38" t="s">
        <v>44</v>
      </c>
      <c r="H27" s="46" t="s">
        <v>267</v>
      </c>
      <c r="I27" s="14" t="s">
        <v>48</v>
      </c>
      <c r="J27" s="14"/>
      <c r="K27" s="20" t="s">
        <v>84</v>
      </c>
      <c r="L27" s="20"/>
      <c r="M27" s="20"/>
      <c r="N27" s="14"/>
      <c r="O27" s="14"/>
      <c r="P27" s="14" t="s">
        <v>48</v>
      </c>
      <c r="Q27" s="14"/>
      <c r="R27" s="14"/>
      <c r="S27" s="14"/>
      <c r="T27" s="14"/>
      <c r="U27" s="14"/>
      <c r="V27" s="14"/>
      <c r="W27" s="14" t="s">
        <v>48</v>
      </c>
      <c r="X27" s="14" t="s">
        <v>48</v>
      </c>
    </row>
    <row r="28" spans="1:24" ht="29" x14ac:dyDescent="0.35">
      <c r="A28" s="11" t="s">
        <v>34</v>
      </c>
      <c r="B28" s="13" t="s">
        <v>48</v>
      </c>
      <c r="C28" s="13"/>
      <c r="D28" s="13"/>
      <c r="E28" s="13"/>
      <c r="F28" s="13">
        <f>_xlfn.XLOOKUP(Table1[[#This Row],[Category (FHWA)]],'Data Validation'!$A$2:$A$6,'Data Validation'!$B$2:$B$6)</f>
        <v>3</v>
      </c>
      <c r="G28" s="38" t="s">
        <v>44</v>
      </c>
      <c r="H28" s="46" t="s">
        <v>267</v>
      </c>
      <c r="I28" s="14" t="s">
        <v>48</v>
      </c>
      <c r="J28" s="14"/>
      <c r="K28" s="20" t="s">
        <v>82</v>
      </c>
      <c r="L28" s="20" t="s">
        <v>48</v>
      </c>
      <c r="M28" s="20"/>
      <c r="N28" s="14"/>
      <c r="O28" s="14"/>
      <c r="P28" s="14" t="s">
        <v>48</v>
      </c>
      <c r="Q28" s="14"/>
      <c r="R28" s="14"/>
      <c r="S28" s="14"/>
      <c r="T28" s="14"/>
      <c r="U28" s="14"/>
      <c r="V28" s="14" t="s">
        <v>48</v>
      </c>
      <c r="W28" s="14" t="s">
        <v>48</v>
      </c>
      <c r="X28" s="14" t="s">
        <v>48</v>
      </c>
    </row>
    <row r="29" spans="1:24" x14ac:dyDescent="0.35">
      <c r="A29" s="11" t="s">
        <v>194</v>
      </c>
      <c r="B29" s="13"/>
      <c r="C29" s="13"/>
      <c r="D29" s="13"/>
      <c r="E29" s="13" t="s">
        <v>48</v>
      </c>
      <c r="F29" s="13">
        <f>_xlfn.XLOOKUP(Table1[[#This Row],[Category (FHWA)]],'Data Validation'!$A$2:$A$6,'Data Validation'!$B$2:$B$6)</f>
        <v>3</v>
      </c>
      <c r="G29" s="38" t="s">
        <v>44</v>
      </c>
      <c r="H29" s="46" t="s">
        <v>267</v>
      </c>
      <c r="I29" s="14" t="s">
        <v>48</v>
      </c>
      <c r="J29" s="14"/>
      <c r="K29" s="20" t="s">
        <v>86</v>
      </c>
      <c r="L29" s="20"/>
      <c r="M29" s="20"/>
      <c r="N29" s="14"/>
      <c r="O29" s="14"/>
      <c r="P29" s="14" t="s">
        <v>48</v>
      </c>
      <c r="Q29" s="14"/>
      <c r="R29" s="14"/>
      <c r="S29" s="14"/>
      <c r="T29" s="14"/>
      <c r="U29" s="14"/>
      <c r="V29" s="14"/>
      <c r="W29" s="14" t="s">
        <v>48</v>
      </c>
      <c r="X29" s="14" t="s">
        <v>48</v>
      </c>
    </row>
    <row r="30" spans="1:24" ht="29" x14ac:dyDescent="0.35">
      <c r="A30" s="11" t="s">
        <v>26</v>
      </c>
      <c r="B30" s="13"/>
      <c r="C30" s="13"/>
      <c r="D30" s="13"/>
      <c r="E30" s="13" t="s">
        <v>48</v>
      </c>
      <c r="F30" s="13">
        <f>_xlfn.XLOOKUP(Table1[[#This Row],[Category (FHWA)]],'Data Validation'!$A$2:$A$6,'Data Validation'!$B$2:$B$6)</f>
        <v>3</v>
      </c>
      <c r="G30" s="38" t="s">
        <v>44</v>
      </c>
      <c r="H30" s="46" t="s">
        <v>267</v>
      </c>
      <c r="I30" s="14" t="s">
        <v>48</v>
      </c>
      <c r="J30" s="14"/>
      <c r="K30" s="20" t="s">
        <v>87</v>
      </c>
      <c r="L30" s="20"/>
      <c r="M30" s="20"/>
      <c r="N30" s="14"/>
      <c r="O30" s="14"/>
      <c r="P30" s="14" t="s">
        <v>48</v>
      </c>
      <c r="Q30" s="14"/>
      <c r="R30" s="14"/>
      <c r="S30" s="14"/>
      <c r="T30" s="14"/>
      <c r="U30" s="14"/>
      <c r="V30" s="14"/>
      <c r="W30" s="14" t="s">
        <v>48</v>
      </c>
      <c r="X30" s="14" t="s">
        <v>48</v>
      </c>
    </row>
    <row r="31" spans="1:24" x14ac:dyDescent="0.35">
      <c r="A31" s="11" t="s">
        <v>88</v>
      </c>
      <c r="B31" s="13"/>
      <c r="C31" s="13"/>
      <c r="D31" s="13"/>
      <c r="E31" s="13" t="s">
        <v>48</v>
      </c>
      <c r="F31" s="13">
        <f>_xlfn.XLOOKUP(Table1[[#This Row],[Category (FHWA)]],'Data Validation'!$A$2:$A$6,'Data Validation'!$B$2:$B$6)</f>
        <v>3</v>
      </c>
      <c r="G31" s="38" t="s">
        <v>44</v>
      </c>
      <c r="H31" s="46" t="s">
        <v>267</v>
      </c>
      <c r="I31" s="14" t="s">
        <v>48</v>
      </c>
      <c r="J31" s="14"/>
      <c r="K31" s="20" t="s">
        <v>85</v>
      </c>
      <c r="L31" s="20"/>
      <c r="M31" s="20"/>
      <c r="N31" s="14"/>
      <c r="O31" s="14"/>
      <c r="P31" s="14" t="s">
        <v>48</v>
      </c>
      <c r="Q31" s="14"/>
      <c r="R31" s="14"/>
      <c r="S31" s="14"/>
      <c r="T31" s="14"/>
      <c r="U31" s="14"/>
      <c r="V31" s="14"/>
      <c r="W31" s="14" t="s">
        <v>48</v>
      </c>
      <c r="X31" s="14" t="s">
        <v>48</v>
      </c>
    </row>
    <row r="32" spans="1:24" x14ac:dyDescent="0.35">
      <c r="A32" s="11" t="s">
        <v>31</v>
      </c>
      <c r="B32" s="13"/>
      <c r="C32" s="13"/>
      <c r="D32" s="13"/>
      <c r="E32" s="13" t="s">
        <v>48</v>
      </c>
      <c r="F32" s="13">
        <f>_xlfn.XLOOKUP(Table1[[#This Row],[Category (FHWA)]],'Data Validation'!$A$2:$A$6,'Data Validation'!$B$2:$B$6)</f>
        <v>3</v>
      </c>
      <c r="G32" s="38" t="s">
        <v>44</v>
      </c>
      <c r="H32" s="46" t="s">
        <v>267</v>
      </c>
      <c r="I32" s="14" t="s">
        <v>48</v>
      </c>
      <c r="J32" s="14"/>
      <c r="K32" s="20" t="s">
        <v>84</v>
      </c>
      <c r="L32" s="20"/>
      <c r="M32" s="20"/>
      <c r="N32" s="14"/>
      <c r="O32" s="14"/>
      <c r="P32" s="14" t="s">
        <v>48</v>
      </c>
      <c r="Q32" s="14"/>
      <c r="R32" s="14"/>
      <c r="S32" s="14"/>
      <c r="T32" s="14"/>
      <c r="U32" s="14"/>
      <c r="V32" s="14"/>
      <c r="W32" s="14" t="s">
        <v>48</v>
      </c>
      <c r="X32" s="14" t="s">
        <v>48</v>
      </c>
    </row>
    <row r="33" spans="1:24" x14ac:dyDescent="0.35">
      <c r="A33" s="11" t="s">
        <v>32</v>
      </c>
      <c r="B33" s="13"/>
      <c r="C33" s="13"/>
      <c r="D33" s="13"/>
      <c r="E33" s="13" t="s">
        <v>48</v>
      </c>
      <c r="F33" s="13">
        <f>_xlfn.XLOOKUP(Table1[[#This Row],[Category (FHWA)]],'Data Validation'!$A$2:$A$6,'Data Validation'!$B$2:$B$6)</f>
        <v>3</v>
      </c>
      <c r="G33" s="38" t="s">
        <v>44</v>
      </c>
      <c r="H33" s="46" t="s">
        <v>267</v>
      </c>
      <c r="I33" s="14" t="s">
        <v>48</v>
      </c>
      <c r="J33" s="14"/>
      <c r="K33" s="20" t="s">
        <v>84</v>
      </c>
      <c r="L33" s="20"/>
      <c r="M33" s="20"/>
      <c r="N33" s="14"/>
      <c r="O33" s="14"/>
      <c r="P33" s="14" t="s">
        <v>48</v>
      </c>
      <c r="Q33" s="14"/>
      <c r="R33" s="14"/>
      <c r="S33" s="14"/>
      <c r="T33" s="14"/>
      <c r="U33" s="14"/>
      <c r="V33" s="14"/>
      <c r="W33" s="14" t="s">
        <v>48</v>
      </c>
      <c r="X33" s="14" t="s">
        <v>48</v>
      </c>
    </row>
    <row r="34" spans="1:24" ht="29" x14ac:dyDescent="0.35">
      <c r="A34" s="16" t="s">
        <v>16</v>
      </c>
      <c r="B34" s="13"/>
      <c r="C34" s="13"/>
      <c r="D34" s="13"/>
      <c r="E34" s="13" t="s">
        <v>48</v>
      </c>
      <c r="F34" s="13">
        <f>_xlfn.XLOOKUP(Table1[[#This Row],[Category (FHWA)]],'Data Validation'!$A$2:$A$6,'Data Validation'!$B$2:$B$6)</f>
        <v>3</v>
      </c>
      <c r="G34" s="38" t="s">
        <v>44</v>
      </c>
      <c r="H34" s="46" t="s">
        <v>267</v>
      </c>
      <c r="I34" s="14" t="s">
        <v>48</v>
      </c>
      <c r="J34" s="14"/>
      <c r="K34" s="20" t="s">
        <v>87</v>
      </c>
      <c r="L34" s="20"/>
      <c r="M34" s="20"/>
      <c r="N34" s="14" t="s">
        <v>48</v>
      </c>
      <c r="O34" s="14" t="s">
        <v>48</v>
      </c>
      <c r="P34" s="14" t="s">
        <v>48</v>
      </c>
      <c r="Q34" s="14" t="s">
        <v>48</v>
      </c>
      <c r="R34" s="14"/>
      <c r="S34" s="14"/>
      <c r="T34" s="14" t="s">
        <v>48</v>
      </c>
      <c r="U34" s="14" t="s">
        <v>48</v>
      </c>
      <c r="V34" s="14"/>
      <c r="W34" s="14" t="s">
        <v>48</v>
      </c>
      <c r="X34" s="14" t="s">
        <v>48</v>
      </c>
    </row>
    <row r="35" spans="1:24" ht="29" x14ac:dyDescent="0.35">
      <c r="A35" s="16" t="s">
        <v>17</v>
      </c>
      <c r="B35" s="13"/>
      <c r="C35" s="13"/>
      <c r="D35" s="13"/>
      <c r="E35" s="13" t="s">
        <v>48</v>
      </c>
      <c r="F35" s="13">
        <f>_xlfn.XLOOKUP(Table1[[#This Row],[Category (FHWA)]],'Data Validation'!$A$2:$A$6,'Data Validation'!$B$2:$B$6)</f>
        <v>3</v>
      </c>
      <c r="G35" s="38" t="s">
        <v>44</v>
      </c>
      <c r="H35" s="46" t="s">
        <v>267</v>
      </c>
      <c r="I35" s="14" t="s">
        <v>48</v>
      </c>
      <c r="J35" s="14"/>
      <c r="K35" s="20" t="s">
        <v>87</v>
      </c>
      <c r="L35" s="20"/>
      <c r="M35" s="20"/>
      <c r="N35" s="14" t="s">
        <v>48</v>
      </c>
      <c r="O35" s="14" t="s">
        <v>48</v>
      </c>
      <c r="P35" s="14" t="s">
        <v>48</v>
      </c>
      <c r="Q35" s="14" t="s">
        <v>48</v>
      </c>
      <c r="R35" s="14"/>
      <c r="S35" s="14"/>
      <c r="T35" s="14" t="s">
        <v>48</v>
      </c>
      <c r="U35" s="14" t="s">
        <v>48</v>
      </c>
      <c r="V35" s="14"/>
      <c r="W35" s="14" t="s">
        <v>48</v>
      </c>
      <c r="X35" s="14" t="s">
        <v>48</v>
      </c>
    </row>
    <row r="36" spans="1:24" ht="29" x14ac:dyDescent="0.35">
      <c r="A36" s="16" t="s">
        <v>18</v>
      </c>
      <c r="B36" s="13" t="s">
        <v>48</v>
      </c>
      <c r="C36" s="13" t="s">
        <v>48</v>
      </c>
      <c r="D36" s="13"/>
      <c r="E36" s="13"/>
      <c r="F36" s="13">
        <f>_xlfn.XLOOKUP(Table1[[#This Row],[Category (FHWA)]],'Data Validation'!$A$2:$A$6,'Data Validation'!$B$2:$B$6)</f>
        <v>4</v>
      </c>
      <c r="G36" s="38" t="s">
        <v>45</v>
      </c>
      <c r="H36" s="46" t="s">
        <v>267</v>
      </c>
      <c r="I36" s="13" t="s">
        <v>48</v>
      </c>
      <c r="J36" s="13"/>
      <c r="K36" s="20" t="s">
        <v>91</v>
      </c>
      <c r="L36" s="20" t="s">
        <v>48</v>
      </c>
      <c r="M36" s="20"/>
      <c r="N36" s="14"/>
      <c r="O36" s="14" t="s">
        <v>48</v>
      </c>
      <c r="P36" s="14"/>
      <c r="Q36" s="14" t="s">
        <v>48</v>
      </c>
      <c r="R36" s="14"/>
      <c r="S36" s="14" t="s">
        <v>48</v>
      </c>
      <c r="T36" s="14" t="s">
        <v>48</v>
      </c>
      <c r="U36" s="14" t="s">
        <v>48</v>
      </c>
      <c r="V36" s="14" t="s">
        <v>48</v>
      </c>
      <c r="W36" s="14" t="s">
        <v>48</v>
      </c>
      <c r="X36" s="14" t="s">
        <v>48</v>
      </c>
    </row>
    <row r="37" spans="1:24" ht="29" x14ac:dyDescent="0.35">
      <c r="A37" s="17" t="s">
        <v>57</v>
      </c>
      <c r="B37" s="13" t="s">
        <v>48</v>
      </c>
      <c r="C37" s="13" t="s">
        <v>48</v>
      </c>
      <c r="D37" s="13"/>
      <c r="E37" s="13"/>
      <c r="F37" s="13">
        <f>_xlfn.XLOOKUP(Table1[[#This Row],[Category (FHWA)]],'Data Validation'!$A$2:$A$6,'Data Validation'!$B$2:$B$6)</f>
        <v>4</v>
      </c>
      <c r="G37" s="38" t="s">
        <v>45</v>
      </c>
      <c r="H37" s="46" t="s">
        <v>267</v>
      </c>
      <c r="I37" s="13" t="s">
        <v>48</v>
      </c>
      <c r="J37" s="13"/>
      <c r="K37" s="20" t="s">
        <v>91</v>
      </c>
      <c r="L37" s="20"/>
      <c r="M37" s="20"/>
      <c r="N37" s="14"/>
      <c r="O37" s="14"/>
      <c r="P37" s="14" t="s">
        <v>48</v>
      </c>
      <c r="Q37" s="14" t="s">
        <v>48</v>
      </c>
      <c r="R37" s="14" t="s">
        <v>48</v>
      </c>
      <c r="S37" s="14"/>
      <c r="T37" s="14" t="s">
        <v>48</v>
      </c>
      <c r="U37" s="14"/>
      <c r="V37" s="14"/>
      <c r="W37" s="14"/>
      <c r="X37" s="14"/>
    </row>
    <row r="38" spans="1:24" ht="29" x14ac:dyDescent="0.35">
      <c r="A38" s="11" t="s">
        <v>179</v>
      </c>
      <c r="B38" s="13" t="s">
        <v>48</v>
      </c>
      <c r="C38" s="13"/>
      <c r="D38" s="13"/>
      <c r="E38" s="13"/>
      <c r="F38" s="13">
        <f>_xlfn.XLOOKUP(Table1[[#This Row],[Category (FHWA)]],'Data Validation'!$A$2:$A$6,'Data Validation'!$B$2:$B$6)</f>
        <v>4</v>
      </c>
      <c r="G38" s="38" t="s">
        <v>45</v>
      </c>
      <c r="H38" s="46" t="s">
        <v>267</v>
      </c>
      <c r="I38" s="14" t="s">
        <v>48</v>
      </c>
      <c r="J38" s="14"/>
      <c r="K38" s="20" t="s">
        <v>92</v>
      </c>
      <c r="L38" s="20"/>
      <c r="M38" s="20"/>
      <c r="N38" s="14"/>
      <c r="O38" s="14" t="s">
        <v>48</v>
      </c>
      <c r="P38" s="14"/>
      <c r="Q38" s="14" t="s">
        <v>48</v>
      </c>
      <c r="R38" s="14"/>
      <c r="S38" s="14"/>
      <c r="T38" s="14"/>
      <c r="U38" s="14"/>
      <c r="V38" s="14"/>
      <c r="W38" s="14" t="s">
        <v>48</v>
      </c>
      <c r="X38" s="14"/>
    </row>
    <row r="39" spans="1:24" ht="29" x14ac:dyDescent="0.35">
      <c r="A39" s="51" t="s">
        <v>180</v>
      </c>
      <c r="B39" s="13" t="s">
        <v>48</v>
      </c>
      <c r="C39" s="13"/>
      <c r="D39" s="13"/>
      <c r="E39" s="13"/>
      <c r="F39" s="13">
        <f>_xlfn.XLOOKUP(Table1[[#This Row],[Category (FHWA)]],'Data Validation'!$A$2:$A$6,'Data Validation'!$B$2:$B$6)</f>
        <v>4</v>
      </c>
      <c r="G39" s="38" t="s">
        <v>45</v>
      </c>
      <c r="H39" s="46" t="s">
        <v>267</v>
      </c>
      <c r="I39" s="14" t="s">
        <v>48</v>
      </c>
      <c r="J39" s="14"/>
      <c r="K39" s="20" t="s">
        <v>92</v>
      </c>
      <c r="L39" s="20"/>
      <c r="M39" s="20"/>
      <c r="N39" s="14"/>
      <c r="O39" s="14"/>
      <c r="P39" s="14"/>
      <c r="Q39" s="14" t="s">
        <v>48</v>
      </c>
      <c r="R39" s="14"/>
      <c r="S39" s="14"/>
      <c r="T39" s="14"/>
      <c r="U39" s="14"/>
      <c r="V39" s="14"/>
      <c r="W39" s="14" t="s">
        <v>48</v>
      </c>
      <c r="X39" s="14"/>
    </row>
    <row r="40" spans="1:24" ht="29" x14ac:dyDescent="0.35">
      <c r="A40" s="11" t="s">
        <v>181</v>
      </c>
      <c r="B40" s="13" t="s">
        <v>48</v>
      </c>
      <c r="C40" s="13"/>
      <c r="D40" s="13"/>
      <c r="E40" s="13"/>
      <c r="F40" s="13">
        <f>_xlfn.XLOOKUP(Table1[[#This Row],[Category (FHWA)]],'Data Validation'!$A$2:$A$6,'Data Validation'!$B$2:$B$6)</f>
        <v>4</v>
      </c>
      <c r="G40" s="38" t="s">
        <v>45</v>
      </c>
      <c r="H40" s="46" t="s">
        <v>267</v>
      </c>
      <c r="I40" s="14" t="s">
        <v>48</v>
      </c>
      <c r="J40" s="14"/>
      <c r="K40" s="20" t="s">
        <v>92</v>
      </c>
      <c r="L40" s="20"/>
      <c r="M40" s="20"/>
      <c r="N40" s="14"/>
      <c r="O40" s="14"/>
      <c r="P40" s="14"/>
      <c r="Q40" s="14" t="s">
        <v>48</v>
      </c>
      <c r="R40" s="14"/>
      <c r="S40" s="14"/>
      <c r="T40" s="14"/>
      <c r="U40" s="14"/>
      <c r="V40" s="14"/>
      <c r="W40" s="14" t="s">
        <v>48</v>
      </c>
      <c r="X40" s="14"/>
    </row>
    <row r="41" spans="1:24" ht="29" x14ac:dyDescent="0.35">
      <c r="A41" s="51" t="s">
        <v>182</v>
      </c>
      <c r="B41" s="13" t="s">
        <v>48</v>
      </c>
      <c r="C41" s="13"/>
      <c r="D41" s="13"/>
      <c r="E41" s="13"/>
      <c r="F41" s="13">
        <f>_xlfn.XLOOKUP(Table1[[#This Row],[Category (FHWA)]],'Data Validation'!$A$2:$A$6,'Data Validation'!$B$2:$B$6)</f>
        <v>4</v>
      </c>
      <c r="G41" s="38" t="s">
        <v>45</v>
      </c>
      <c r="H41" s="46" t="s">
        <v>267</v>
      </c>
      <c r="I41" s="14" t="s">
        <v>48</v>
      </c>
      <c r="J41" s="14"/>
      <c r="K41" s="20" t="s">
        <v>92</v>
      </c>
      <c r="L41" s="20"/>
      <c r="M41" s="20"/>
      <c r="N41" s="14"/>
      <c r="O41" s="14"/>
      <c r="P41" s="14"/>
      <c r="Q41" s="14" t="s">
        <v>48</v>
      </c>
      <c r="R41" s="14"/>
      <c r="S41" s="14"/>
      <c r="T41" s="14"/>
      <c r="U41" s="14"/>
      <c r="V41" s="14"/>
      <c r="W41" s="14" t="s">
        <v>48</v>
      </c>
      <c r="X41" s="14"/>
    </row>
    <row r="42" spans="1:24" ht="29" x14ac:dyDescent="0.35">
      <c r="A42" s="11" t="s">
        <v>72</v>
      </c>
      <c r="B42" s="13" t="s">
        <v>48</v>
      </c>
      <c r="C42" s="13"/>
      <c r="D42" s="13"/>
      <c r="E42" s="13"/>
      <c r="F42" s="13">
        <f>_xlfn.XLOOKUP(Table1[[#This Row],[Category (FHWA)]],'Data Validation'!$A$2:$A$6,'Data Validation'!$B$2:$B$6)</f>
        <v>4</v>
      </c>
      <c r="G42" s="38" t="s">
        <v>45</v>
      </c>
      <c r="H42" s="46" t="s">
        <v>267</v>
      </c>
      <c r="I42" s="14"/>
      <c r="J42" s="14"/>
      <c r="K42" s="20" t="s">
        <v>92</v>
      </c>
      <c r="L42" s="20"/>
      <c r="M42" s="20"/>
      <c r="N42" s="14" t="s">
        <v>48</v>
      </c>
      <c r="O42" s="14" t="s">
        <v>48</v>
      </c>
      <c r="P42" s="14"/>
      <c r="Q42" s="14"/>
      <c r="R42" s="14"/>
      <c r="S42" s="14"/>
      <c r="T42" s="14"/>
      <c r="U42" s="14"/>
      <c r="V42" s="14"/>
      <c r="W42" s="14"/>
      <c r="X42" s="14"/>
    </row>
    <row r="43" spans="1:24" ht="29" x14ac:dyDescent="0.35">
      <c r="A43" s="11" t="s">
        <v>75</v>
      </c>
      <c r="B43" s="13" t="s">
        <v>48</v>
      </c>
      <c r="C43" s="13"/>
      <c r="D43" s="13"/>
      <c r="E43" s="13"/>
      <c r="F43" s="13">
        <f>_xlfn.XLOOKUP(Table1[[#This Row],[Category (FHWA)]],'Data Validation'!$A$2:$A$6,'Data Validation'!$B$2:$B$6)</f>
        <v>4</v>
      </c>
      <c r="G43" s="38" t="s">
        <v>45</v>
      </c>
      <c r="H43" s="46" t="s">
        <v>267</v>
      </c>
      <c r="I43" s="14"/>
      <c r="J43" s="14"/>
      <c r="K43" s="20" t="s">
        <v>92</v>
      </c>
      <c r="L43" s="20"/>
      <c r="M43" s="20"/>
      <c r="N43" s="14" t="s">
        <v>48</v>
      </c>
      <c r="O43" s="14" t="s">
        <v>48</v>
      </c>
      <c r="P43" s="14"/>
      <c r="Q43" s="14"/>
      <c r="R43" s="14"/>
      <c r="S43" s="14"/>
      <c r="T43" s="14"/>
      <c r="U43" s="14"/>
      <c r="V43" s="14"/>
      <c r="W43" s="14"/>
      <c r="X43" s="14"/>
    </row>
    <row r="44" spans="1:24" ht="29" x14ac:dyDescent="0.35">
      <c r="A44" s="11" t="s">
        <v>76</v>
      </c>
      <c r="B44" s="13" t="s">
        <v>48</v>
      </c>
      <c r="C44" s="13"/>
      <c r="D44" s="13"/>
      <c r="E44" s="13"/>
      <c r="F44" s="13">
        <f>_xlfn.XLOOKUP(Table1[[#This Row],[Category (FHWA)]],'Data Validation'!$A$2:$A$6,'Data Validation'!$B$2:$B$6)</f>
        <v>4</v>
      </c>
      <c r="G44" s="38" t="s">
        <v>45</v>
      </c>
      <c r="H44" s="46" t="s">
        <v>267</v>
      </c>
      <c r="I44" s="14"/>
      <c r="J44" s="14"/>
      <c r="K44" s="20" t="s">
        <v>92</v>
      </c>
      <c r="L44" s="20"/>
      <c r="M44" s="20"/>
      <c r="N44" s="14" t="s">
        <v>48</v>
      </c>
      <c r="O44" s="14" t="s">
        <v>48</v>
      </c>
      <c r="P44" s="14"/>
      <c r="Q44" s="14"/>
      <c r="R44" s="14"/>
      <c r="S44" s="14"/>
      <c r="T44" s="14"/>
      <c r="U44" s="14"/>
      <c r="V44" s="14"/>
      <c r="W44" s="14"/>
      <c r="X44" s="14"/>
    </row>
    <row r="45" spans="1:24" ht="29" x14ac:dyDescent="0.35">
      <c r="A45" s="11" t="s">
        <v>77</v>
      </c>
      <c r="B45" s="13" t="s">
        <v>48</v>
      </c>
      <c r="C45" s="13"/>
      <c r="D45" s="13"/>
      <c r="E45" s="13"/>
      <c r="F45" s="13">
        <f>_xlfn.XLOOKUP(Table1[[#This Row],[Category (FHWA)]],'Data Validation'!$A$2:$A$6,'Data Validation'!$B$2:$B$6)</f>
        <v>4</v>
      </c>
      <c r="G45" s="38" t="s">
        <v>45</v>
      </c>
      <c r="H45" s="46" t="s">
        <v>267</v>
      </c>
      <c r="I45" s="14"/>
      <c r="J45" s="14"/>
      <c r="K45" s="20" t="s">
        <v>92</v>
      </c>
      <c r="L45" s="20"/>
      <c r="M45" s="20"/>
      <c r="N45" s="14" t="s">
        <v>48</v>
      </c>
      <c r="O45" s="14" t="s">
        <v>48</v>
      </c>
      <c r="P45" s="14"/>
      <c r="Q45" s="14"/>
      <c r="R45" s="14"/>
      <c r="S45" s="14"/>
      <c r="T45" s="14"/>
      <c r="U45" s="14"/>
      <c r="V45" s="14"/>
      <c r="W45" s="14"/>
      <c r="X45" s="14"/>
    </row>
    <row r="46" spans="1:24" ht="25" x14ac:dyDescent="0.35">
      <c r="A46" s="11" t="s">
        <v>284</v>
      </c>
      <c r="B46" s="13" t="s">
        <v>48</v>
      </c>
      <c r="C46" s="13"/>
      <c r="D46" s="13"/>
      <c r="E46" s="13" t="s">
        <v>48</v>
      </c>
      <c r="F46" s="13">
        <f>_xlfn.XLOOKUP(Table1[[#This Row],[Category (FHWA)]],'Data Validation'!$A$2:$A$6,'Data Validation'!$B$2:$B$6)</f>
        <v>4</v>
      </c>
      <c r="G46" s="38" t="s">
        <v>45</v>
      </c>
      <c r="H46" s="46" t="s">
        <v>267</v>
      </c>
      <c r="I46" s="20"/>
      <c r="J46" s="14"/>
      <c r="K46" s="20" t="s">
        <v>94</v>
      </c>
      <c r="L46" s="20" t="s">
        <v>48</v>
      </c>
      <c r="M46" s="20"/>
      <c r="N46" s="14" t="s">
        <v>48</v>
      </c>
      <c r="O46" s="14"/>
      <c r="P46" s="14"/>
      <c r="Q46" s="14" t="s">
        <v>48</v>
      </c>
      <c r="R46" s="14"/>
      <c r="S46" s="14" t="s">
        <v>48</v>
      </c>
      <c r="T46" s="14" t="s">
        <v>48</v>
      </c>
      <c r="U46" s="14"/>
      <c r="V46" s="14" t="s">
        <v>48</v>
      </c>
      <c r="W46" s="14"/>
      <c r="X46" s="14"/>
    </row>
    <row r="47" spans="1:24" x14ac:dyDescent="0.35">
      <c r="A47" s="11" t="s">
        <v>78</v>
      </c>
      <c r="B47" s="13" t="s">
        <v>48</v>
      </c>
      <c r="C47" s="13"/>
      <c r="D47" s="13"/>
      <c r="E47" s="13"/>
      <c r="F47" s="13">
        <f>_xlfn.XLOOKUP(Table1[[#This Row],[Category (FHWA)]],'Data Validation'!$A$2:$A$6,'Data Validation'!$B$2:$B$6)</f>
        <v>4</v>
      </c>
      <c r="G47" s="38" t="s">
        <v>45</v>
      </c>
      <c r="H47" s="46" t="s">
        <v>267</v>
      </c>
      <c r="I47" s="14"/>
      <c r="J47" s="14"/>
      <c r="K47" s="20" t="s">
        <v>93</v>
      </c>
      <c r="L47" s="20"/>
      <c r="M47" s="20"/>
      <c r="N47" s="14" t="s">
        <v>48</v>
      </c>
      <c r="O47" s="14" t="s">
        <v>48</v>
      </c>
      <c r="P47" s="14"/>
      <c r="Q47" s="14"/>
      <c r="R47" s="14"/>
      <c r="S47" s="14"/>
      <c r="T47" s="14"/>
      <c r="U47" s="14"/>
      <c r="V47" s="14"/>
      <c r="W47" s="14"/>
      <c r="X47" s="14"/>
    </row>
    <row r="48" spans="1:24" x14ac:dyDescent="0.35">
      <c r="A48" s="11" t="s">
        <v>79</v>
      </c>
      <c r="B48" s="13" t="s">
        <v>48</v>
      </c>
      <c r="C48" s="13"/>
      <c r="D48" s="13"/>
      <c r="E48" s="13"/>
      <c r="F48" s="13">
        <f>_xlfn.XLOOKUP(Table1[[#This Row],[Category (FHWA)]],'Data Validation'!$A$2:$A$6,'Data Validation'!$B$2:$B$6)</f>
        <v>4</v>
      </c>
      <c r="G48" s="38" t="s">
        <v>45</v>
      </c>
      <c r="H48" s="46" t="s">
        <v>267</v>
      </c>
      <c r="I48" s="14"/>
      <c r="J48" s="14"/>
      <c r="K48" s="20" t="s">
        <v>93</v>
      </c>
      <c r="L48" s="20"/>
      <c r="M48" s="20"/>
      <c r="N48" s="14" t="s">
        <v>48</v>
      </c>
      <c r="O48" s="14" t="s">
        <v>48</v>
      </c>
      <c r="P48" s="14"/>
      <c r="Q48" s="14"/>
      <c r="R48" s="14"/>
      <c r="S48" s="14"/>
      <c r="T48" s="14"/>
      <c r="U48" s="14"/>
      <c r="V48" s="14"/>
      <c r="W48" s="14"/>
      <c r="X48" s="14"/>
    </row>
    <row r="49" spans="1:24" x14ac:dyDescent="0.35">
      <c r="A49" s="11" t="s">
        <v>257</v>
      </c>
      <c r="B49" s="13"/>
      <c r="C49" s="13" t="s">
        <v>48</v>
      </c>
      <c r="D49" s="13"/>
      <c r="E49" s="13" t="s">
        <v>48</v>
      </c>
      <c r="F49" s="13">
        <f>_xlfn.XLOOKUP(Table1[[#This Row],[Category (FHWA)]],'Data Validation'!$A$2:$A$6,'Data Validation'!$B$2:$B$6)</f>
        <v>4</v>
      </c>
      <c r="G49" s="38" t="s">
        <v>45</v>
      </c>
      <c r="H49" s="46" t="s">
        <v>267</v>
      </c>
      <c r="I49" s="14"/>
      <c r="J49" s="14"/>
      <c r="K49" s="20" t="s">
        <v>94</v>
      </c>
      <c r="L49" s="20"/>
      <c r="M49" s="20"/>
      <c r="N49" s="14" t="s">
        <v>48</v>
      </c>
      <c r="O49" s="14"/>
      <c r="P49" s="14"/>
      <c r="Q49" s="14" t="s">
        <v>48</v>
      </c>
      <c r="R49" s="14"/>
      <c r="S49" s="14" t="s">
        <v>48</v>
      </c>
      <c r="T49" s="14" t="s">
        <v>48</v>
      </c>
      <c r="U49" s="14"/>
      <c r="V49" s="14" t="s">
        <v>48</v>
      </c>
      <c r="W49" s="14"/>
      <c r="X49" s="14"/>
    </row>
    <row r="50" spans="1:24" x14ac:dyDescent="0.35">
      <c r="A50" s="11" t="s">
        <v>39</v>
      </c>
      <c r="B50" s="13"/>
      <c r="C50" s="13" t="s">
        <v>48</v>
      </c>
      <c r="D50" s="13"/>
      <c r="E50" s="13"/>
      <c r="F50" s="13">
        <f>_xlfn.XLOOKUP(Table1[[#This Row],[Category (FHWA)]],'Data Validation'!$A$2:$A$6,'Data Validation'!$B$2:$B$6)</f>
        <v>4</v>
      </c>
      <c r="G50" s="39" t="s">
        <v>45</v>
      </c>
      <c r="H50" s="46" t="s">
        <v>267</v>
      </c>
      <c r="I50" s="14"/>
      <c r="J50" s="14"/>
      <c r="K50" s="20" t="s">
        <v>94</v>
      </c>
      <c r="L50" s="20"/>
      <c r="M50" s="20"/>
      <c r="N50" s="14" t="s">
        <v>48</v>
      </c>
      <c r="O50" s="14" t="s">
        <v>48</v>
      </c>
      <c r="P50" s="14"/>
      <c r="Q50" s="14" t="s">
        <v>48</v>
      </c>
      <c r="R50" s="14"/>
      <c r="S50" s="14" t="s">
        <v>48</v>
      </c>
      <c r="T50" s="14" t="s">
        <v>48</v>
      </c>
      <c r="U50" s="14" t="s">
        <v>48</v>
      </c>
      <c r="V50" s="14" t="s">
        <v>48</v>
      </c>
      <c r="W50" s="14"/>
      <c r="X50" s="14"/>
    </row>
    <row r="51" spans="1:24" x14ac:dyDescent="0.35">
      <c r="A51" s="11" t="s">
        <v>38</v>
      </c>
      <c r="B51" s="13"/>
      <c r="C51" s="13"/>
      <c r="D51" s="13" t="s">
        <v>48</v>
      </c>
      <c r="E51" s="13"/>
      <c r="F51" s="13">
        <f>_xlfn.XLOOKUP(Table1[[#This Row],[Category (FHWA)]],'Data Validation'!$A$2:$A$6,'Data Validation'!$B$2:$B$6)</f>
        <v>4</v>
      </c>
      <c r="G51" s="39" t="s">
        <v>45</v>
      </c>
      <c r="H51" s="46" t="s">
        <v>267</v>
      </c>
      <c r="I51" s="14"/>
      <c r="J51" s="14"/>
      <c r="K51" s="20"/>
      <c r="L51" s="20" t="s">
        <v>48</v>
      </c>
      <c r="M51" s="20"/>
      <c r="N51" s="14" t="s">
        <v>48</v>
      </c>
      <c r="O51" s="14" t="s">
        <v>48</v>
      </c>
      <c r="P51" s="14"/>
      <c r="Q51" s="14" t="s">
        <v>48</v>
      </c>
      <c r="R51" s="14"/>
      <c r="S51" s="14" t="s">
        <v>48</v>
      </c>
      <c r="T51" s="14" t="s">
        <v>48</v>
      </c>
      <c r="U51" s="14" t="s">
        <v>48</v>
      </c>
      <c r="V51" s="14" t="s">
        <v>48</v>
      </c>
      <c r="W51" s="14" t="s">
        <v>48</v>
      </c>
      <c r="X51" s="14"/>
    </row>
    <row r="52" spans="1:24" x14ac:dyDescent="0.35">
      <c r="A52" s="11" t="s">
        <v>14</v>
      </c>
      <c r="B52" s="13"/>
      <c r="C52" s="13"/>
      <c r="D52" s="13" t="s">
        <v>48</v>
      </c>
      <c r="E52" s="13"/>
      <c r="F52" s="13">
        <f>_xlfn.XLOOKUP(Table1[[#This Row],[Category (FHWA)]],'Data Validation'!$A$2:$A$6,'Data Validation'!$B$2:$B$6)</f>
        <v>4</v>
      </c>
      <c r="G52" s="39" t="s">
        <v>45</v>
      </c>
      <c r="H52" s="46" t="s">
        <v>267</v>
      </c>
      <c r="I52" s="14"/>
      <c r="J52" s="14"/>
      <c r="K52" s="20" t="s">
        <v>93</v>
      </c>
      <c r="L52" s="20"/>
      <c r="M52" s="20"/>
      <c r="N52" s="14" t="s">
        <v>48</v>
      </c>
      <c r="O52" s="14"/>
      <c r="P52" s="14"/>
      <c r="Q52" s="14" t="s">
        <v>48</v>
      </c>
      <c r="R52" s="14"/>
      <c r="S52" s="14" t="s">
        <v>48</v>
      </c>
      <c r="T52" s="14" t="s">
        <v>48</v>
      </c>
      <c r="U52" s="14" t="s">
        <v>48</v>
      </c>
      <c r="V52" s="14" t="s">
        <v>48</v>
      </c>
      <c r="W52" s="14"/>
      <c r="X52" s="14"/>
    </row>
    <row r="53" spans="1:24" x14ac:dyDescent="0.35">
      <c r="A53" s="11" t="s">
        <v>15</v>
      </c>
      <c r="B53" s="13"/>
      <c r="C53" s="13"/>
      <c r="D53" s="13" t="s">
        <v>48</v>
      </c>
      <c r="E53" s="13"/>
      <c r="F53" s="13">
        <f>_xlfn.XLOOKUP(Table1[[#This Row],[Category (FHWA)]],'Data Validation'!$A$2:$A$6,'Data Validation'!$B$2:$B$6)</f>
        <v>4</v>
      </c>
      <c r="G53" s="38" t="s">
        <v>45</v>
      </c>
      <c r="H53" s="46" t="s">
        <v>267</v>
      </c>
      <c r="I53" s="14"/>
      <c r="J53" s="14"/>
      <c r="K53" s="20" t="s">
        <v>80</v>
      </c>
      <c r="L53" s="20" t="s">
        <v>48</v>
      </c>
      <c r="M53" s="20"/>
      <c r="N53" s="14" t="s">
        <v>48</v>
      </c>
      <c r="O53" s="14"/>
      <c r="P53" s="14"/>
      <c r="Q53" s="14" t="s">
        <v>48</v>
      </c>
      <c r="R53" s="14"/>
      <c r="S53" s="14" t="s">
        <v>48</v>
      </c>
      <c r="T53" s="14" t="s">
        <v>48</v>
      </c>
      <c r="U53" s="14" t="s">
        <v>48</v>
      </c>
      <c r="V53" s="14" t="s">
        <v>48</v>
      </c>
      <c r="W53" s="14" t="s">
        <v>48</v>
      </c>
      <c r="X53" s="14"/>
    </row>
    <row r="54" spans="1:24" x14ac:dyDescent="0.35">
      <c r="A54" s="11" t="s">
        <v>108</v>
      </c>
      <c r="B54" s="13"/>
      <c r="C54" s="13"/>
      <c r="D54" s="13" t="s">
        <v>48</v>
      </c>
      <c r="E54" s="13"/>
      <c r="F54" s="13">
        <f>_xlfn.XLOOKUP(Table1[[#This Row],[Category (FHWA)]],'Data Validation'!$A$2:$A$6,'Data Validation'!$B$2:$B$6)</f>
        <v>4</v>
      </c>
      <c r="G54" s="38" t="s">
        <v>45</v>
      </c>
      <c r="H54" s="46" t="s">
        <v>267</v>
      </c>
      <c r="I54" s="14"/>
      <c r="J54" s="14"/>
      <c r="K54" s="20"/>
      <c r="L54" s="20"/>
      <c r="M54" s="20"/>
      <c r="N54" s="14"/>
      <c r="O54" s="14" t="s">
        <v>48</v>
      </c>
      <c r="P54" s="14"/>
      <c r="Q54" s="14" t="s">
        <v>48</v>
      </c>
      <c r="R54" s="14"/>
      <c r="S54" s="14"/>
      <c r="T54" s="14" t="s">
        <v>48</v>
      </c>
      <c r="U54" s="14" t="s">
        <v>48</v>
      </c>
      <c r="V54" s="14" t="s">
        <v>48</v>
      </c>
      <c r="W54" s="14" t="s">
        <v>48</v>
      </c>
      <c r="X54" s="14" t="s">
        <v>48</v>
      </c>
    </row>
    <row r="55" spans="1:24" x14ac:dyDescent="0.35">
      <c r="A55" s="11" t="s">
        <v>21</v>
      </c>
      <c r="B55" s="13"/>
      <c r="C55" s="13"/>
      <c r="D55" s="13" t="s">
        <v>48</v>
      </c>
      <c r="E55" s="13"/>
      <c r="F55" s="13">
        <f>_xlfn.XLOOKUP(Table1[[#This Row],[Category (FHWA)]],'Data Validation'!$A$2:$A$6,'Data Validation'!$B$2:$B$6)</f>
        <v>4</v>
      </c>
      <c r="G55" s="38" t="s">
        <v>45</v>
      </c>
      <c r="H55" s="46" t="s">
        <v>267</v>
      </c>
      <c r="I55" s="14"/>
      <c r="J55" s="14"/>
      <c r="K55" s="20"/>
      <c r="L55" s="20"/>
      <c r="M55" s="20"/>
      <c r="N55" s="14"/>
      <c r="O55" s="14" t="s">
        <v>48</v>
      </c>
      <c r="P55" s="14"/>
      <c r="Q55" s="14" t="s">
        <v>48</v>
      </c>
      <c r="R55" s="14"/>
      <c r="S55" s="14"/>
      <c r="T55" s="14" t="s">
        <v>48</v>
      </c>
      <c r="U55" s="14"/>
      <c r="V55" s="14" t="s">
        <v>48</v>
      </c>
      <c r="W55" s="14" t="s">
        <v>48</v>
      </c>
      <c r="X55" s="14"/>
    </row>
    <row r="56" spans="1:24" x14ac:dyDescent="0.35">
      <c r="A56" s="11" t="s">
        <v>24</v>
      </c>
      <c r="B56" s="13"/>
      <c r="C56" s="13"/>
      <c r="D56" s="13" t="s">
        <v>48</v>
      </c>
      <c r="E56" s="13"/>
      <c r="F56" s="13">
        <f>_xlfn.XLOOKUP(Table1[[#This Row],[Category (FHWA)]],'Data Validation'!$A$2:$A$6,'Data Validation'!$B$2:$B$6)</f>
        <v>4</v>
      </c>
      <c r="G56" s="38" t="s">
        <v>45</v>
      </c>
      <c r="H56" s="46" t="s">
        <v>267</v>
      </c>
      <c r="I56" s="14"/>
      <c r="J56" s="14"/>
      <c r="K56" s="20" t="s">
        <v>94</v>
      </c>
      <c r="L56" s="20"/>
      <c r="M56" s="20"/>
      <c r="N56" s="14"/>
      <c r="O56" s="14" t="s">
        <v>48</v>
      </c>
      <c r="P56" s="14"/>
      <c r="Q56" s="14" t="s">
        <v>48</v>
      </c>
      <c r="R56" s="14"/>
      <c r="S56" s="14"/>
      <c r="T56" s="14" t="s">
        <v>48</v>
      </c>
      <c r="U56" s="14" t="s">
        <v>48</v>
      </c>
      <c r="V56" s="14" t="s">
        <v>48</v>
      </c>
      <c r="W56" s="14" t="s">
        <v>48</v>
      </c>
      <c r="X56" s="14"/>
    </row>
    <row r="57" spans="1:24" ht="25" x14ac:dyDescent="0.35">
      <c r="A57" s="11" t="s">
        <v>130</v>
      </c>
      <c r="B57" s="13"/>
      <c r="C57" s="13"/>
      <c r="D57" s="13" t="s">
        <v>48</v>
      </c>
      <c r="E57" s="13"/>
      <c r="F57" s="13">
        <f>_xlfn.XLOOKUP(Table1[[#This Row],[Category (FHWA)]],'Data Validation'!$A$2:$A$6,'Data Validation'!$B$2:$B$6)</f>
        <v>4</v>
      </c>
      <c r="G57" s="38" t="s">
        <v>45</v>
      </c>
      <c r="H57" s="46" t="s">
        <v>267</v>
      </c>
      <c r="I57" s="14" t="s">
        <v>48</v>
      </c>
      <c r="J57" s="14"/>
      <c r="K57" s="20" t="s">
        <v>94</v>
      </c>
      <c r="L57" s="20" t="s">
        <v>48</v>
      </c>
      <c r="M57" s="20"/>
      <c r="N57" s="14"/>
      <c r="O57" s="14" t="s">
        <v>48</v>
      </c>
      <c r="P57" s="14"/>
      <c r="Q57" s="14" t="s">
        <v>48</v>
      </c>
      <c r="R57" s="14"/>
      <c r="S57" s="14"/>
      <c r="T57" s="14" t="s">
        <v>48</v>
      </c>
      <c r="U57" s="14" t="s">
        <v>48</v>
      </c>
      <c r="V57" s="14" t="s">
        <v>48</v>
      </c>
      <c r="W57" s="14" t="s">
        <v>48</v>
      </c>
      <c r="X57" s="14"/>
    </row>
    <row r="58" spans="1:24" x14ac:dyDescent="0.35">
      <c r="A58" s="11" t="s">
        <v>19</v>
      </c>
      <c r="B58" s="13"/>
      <c r="C58" s="13"/>
      <c r="D58" s="13"/>
      <c r="E58" s="13" t="s">
        <v>48</v>
      </c>
      <c r="F58" s="13">
        <f>_xlfn.XLOOKUP(Table1[[#This Row],[Category (FHWA)]],'Data Validation'!$A$2:$A$6,'Data Validation'!$B$2:$B$6)</f>
        <v>4</v>
      </c>
      <c r="G58" s="38" t="s">
        <v>45</v>
      </c>
      <c r="H58" s="46" t="s">
        <v>267</v>
      </c>
      <c r="I58" s="14" t="s">
        <v>48</v>
      </c>
      <c r="J58" s="14"/>
      <c r="K58" s="20" t="s">
        <v>94</v>
      </c>
      <c r="L58" s="20"/>
      <c r="M58" s="20"/>
      <c r="N58" s="14"/>
      <c r="O58" s="14" t="s">
        <v>48</v>
      </c>
      <c r="P58" s="14"/>
      <c r="Q58" s="14" t="s">
        <v>48</v>
      </c>
      <c r="R58" s="14"/>
      <c r="S58" s="14"/>
      <c r="T58" s="14" t="s">
        <v>48</v>
      </c>
      <c r="U58" s="14" t="s">
        <v>48</v>
      </c>
      <c r="V58" s="14" t="s">
        <v>48</v>
      </c>
      <c r="W58" s="14" t="s">
        <v>48</v>
      </c>
      <c r="X58" s="14"/>
    </row>
    <row r="59" spans="1:24" x14ac:dyDescent="0.35">
      <c r="A59" s="11" t="s">
        <v>20</v>
      </c>
      <c r="B59" s="13"/>
      <c r="C59" s="13"/>
      <c r="D59" s="13"/>
      <c r="E59" s="13" t="s">
        <v>48</v>
      </c>
      <c r="F59" s="13">
        <f>_xlfn.XLOOKUP(Table1[[#This Row],[Category (FHWA)]],'Data Validation'!$A$2:$A$6,'Data Validation'!$B$2:$B$6)</f>
        <v>4</v>
      </c>
      <c r="G59" s="38" t="s">
        <v>45</v>
      </c>
      <c r="H59" s="46" t="s">
        <v>267</v>
      </c>
      <c r="I59" s="14"/>
      <c r="J59" s="14"/>
      <c r="K59" s="20"/>
      <c r="L59" s="20"/>
      <c r="M59" s="20"/>
      <c r="N59" s="14"/>
      <c r="O59" s="14" t="s">
        <v>48</v>
      </c>
      <c r="P59" s="14"/>
      <c r="Q59" s="14" t="s">
        <v>48</v>
      </c>
      <c r="R59" s="14"/>
      <c r="S59" s="14"/>
      <c r="T59" s="14"/>
      <c r="U59" s="14"/>
      <c r="V59" s="14"/>
      <c r="W59" s="14" t="s">
        <v>48</v>
      </c>
      <c r="X59" s="14"/>
    </row>
    <row r="60" spans="1:24" ht="37.5" x14ac:dyDescent="0.35">
      <c r="A60" s="11" t="s">
        <v>71</v>
      </c>
      <c r="B60" s="13"/>
      <c r="C60" s="13"/>
      <c r="D60" s="13"/>
      <c r="E60" s="13" t="s">
        <v>48</v>
      </c>
      <c r="F60" s="13">
        <f>_xlfn.XLOOKUP(Table1[[#This Row],[Category (FHWA)]],'Data Validation'!$A$2:$A$6,'Data Validation'!$B$2:$B$6)</f>
        <v>4</v>
      </c>
      <c r="G60" s="38" t="s">
        <v>45</v>
      </c>
      <c r="H60" s="46" t="s">
        <v>267</v>
      </c>
      <c r="I60" s="14"/>
      <c r="J60" s="14"/>
      <c r="K60" s="20"/>
      <c r="L60" s="20"/>
      <c r="M60" s="20"/>
      <c r="N60" s="14"/>
      <c r="O60" s="14" t="s">
        <v>48</v>
      </c>
      <c r="P60" s="14"/>
      <c r="Q60" s="14" t="s">
        <v>48</v>
      </c>
      <c r="R60" s="14"/>
      <c r="S60" s="14" t="s">
        <v>48</v>
      </c>
      <c r="T60" s="14" t="s">
        <v>48</v>
      </c>
      <c r="U60" s="14" t="s">
        <v>48</v>
      </c>
      <c r="V60" s="14" t="s">
        <v>48</v>
      </c>
      <c r="W60" s="14" t="s">
        <v>48</v>
      </c>
      <c r="X60" s="14"/>
    </row>
    <row r="61" spans="1:24" ht="37.5" x14ac:dyDescent="0.35">
      <c r="A61" s="11" t="s">
        <v>70</v>
      </c>
      <c r="B61" s="13"/>
      <c r="C61" s="13"/>
      <c r="D61" s="13"/>
      <c r="E61" s="13" t="s">
        <v>48</v>
      </c>
      <c r="F61" s="13">
        <f>_xlfn.XLOOKUP(Table1[[#This Row],[Category (FHWA)]],'Data Validation'!$A$2:$A$6,'Data Validation'!$B$2:$B$6)</f>
        <v>4</v>
      </c>
      <c r="G61" s="38" t="s">
        <v>45</v>
      </c>
      <c r="H61" s="46" t="s">
        <v>267</v>
      </c>
      <c r="I61" s="14" t="s">
        <v>48</v>
      </c>
      <c r="J61" s="14"/>
      <c r="K61" s="20" t="s">
        <v>93</v>
      </c>
      <c r="L61" s="20"/>
      <c r="M61" s="20"/>
      <c r="N61" s="14"/>
      <c r="O61" s="14"/>
      <c r="P61" s="14"/>
      <c r="Q61" s="14" t="s">
        <v>48</v>
      </c>
      <c r="R61" s="14"/>
      <c r="S61" s="14" t="s">
        <v>48</v>
      </c>
      <c r="T61" s="14" t="s">
        <v>48</v>
      </c>
      <c r="U61" s="14" t="s">
        <v>48</v>
      </c>
      <c r="V61" s="14" t="s">
        <v>48</v>
      </c>
      <c r="W61" s="14" t="s">
        <v>48</v>
      </c>
      <c r="X61" s="14"/>
    </row>
    <row r="62" spans="1:24" ht="25" x14ac:dyDescent="0.35">
      <c r="A62" s="11" t="s">
        <v>25</v>
      </c>
      <c r="B62" s="13"/>
      <c r="C62" s="13"/>
      <c r="D62" s="13"/>
      <c r="E62" s="13" t="s">
        <v>48</v>
      </c>
      <c r="F62" s="13">
        <f>_xlfn.XLOOKUP(Table1[[#This Row],[Category (FHWA)]],'Data Validation'!$A$2:$A$6,'Data Validation'!$B$2:$B$6)</f>
        <v>4</v>
      </c>
      <c r="G62" s="38" t="s">
        <v>45</v>
      </c>
      <c r="H62" s="46" t="s">
        <v>267</v>
      </c>
      <c r="I62" s="14"/>
      <c r="J62" s="14"/>
      <c r="K62" s="20"/>
      <c r="L62" s="20"/>
      <c r="M62" s="20"/>
      <c r="N62" s="14"/>
      <c r="O62" s="14"/>
      <c r="P62" s="14"/>
      <c r="Q62" s="14" t="s">
        <v>48</v>
      </c>
      <c r="R62" s="14"/>
      <c r="S62" s="14" t="s">
        <v>48</v>
      </c>
      <c r="T62" s="14"/>
      <c r="U62" s="14"/>
      <c r="V62" s="14"/>
      <c r="W62" s="14" t="s">
        <v>48</v>
      </c>
      <c r="X62" s="14"/>
    </row>
    <row r="63" spans="1:24" x14ac:dyDescent="0.35">
      <c r="A63" s="11" t="s">
        <v>73</v>
      </c>
      <c r="B63" s="13"/>
      <c r="C63" s="13"/>
      <c r="D63" s="13"/>
      <c r="E63" s="13" t="s">
        <v>48</v>
      </c>
      <c r="F63" s="13">
        <f>_xlfn.XLOOKUP(Table1[[#This Row],[Category (FHWA)]],'Data Validation'!$A$2:$A$6,'Data Validation'!$B$2:$B$6)</f>
        <v>4</v>
      </c>
      <c r="G63" s="38" t="s">
        <v>45</v>
      </c>
      <c r="H63" s="46" t="s">
        <v>267</v>
      </c>
      <c r="I63" s="14"/>
      <c r="J63" s="14"/>
      <c r="K63" s="20" t="s">
        <v>95</v>
      </c>
      <c r="L63" s="20"/>
      <c r="M63" s="20"/>
      <c r="N63" s="14" t="s">
        <v>48</v>
      </c>
      <c r="O63" s="14" t="s">
        <v>48</v>
      </c>
      <c r="P63" s="14"/>
      <c r="Q63" s="14"/>
      <c r="R63" s="14"/>
      <c r="S63" s="14"/>
      <c r="T63" s="14"/>
      <c r="U63" s="14"/>
      <c r="V63" s="14"/>
      <c r="W63" s="14"/>
      <c r="X63" s="14"/>
    </row>
    <row r="64" spans="1:24" ht="29" x14ac:dyDescent="0.35">
      <c r="A64" s="11" t="s">
        <v>52</v>
      </c>
      <c r="B64" s="14" t="s">
        <v>48</v>
      </c>
      <c r="C64" s="14" t="s">
        <v>48</v>
      </c>
      <c r="D64" s="14"/>
      <c r="E64" s="14"/>
      <c r="F64" s="14">
        <f>_xlfn.XLOOKUP(Table1[[#This Row],[Category (FHWA)]],'Data Validation'!$A$2:$A$6,'Data Validation'!$B$2:$B$6)</f>
        <v>5</v>
      </c>
      <c r="G64" s="38" t="s">
        <v>46</v>
      </c>
      <c r="H64" s="46" t="s">
        <v>267</v>
      </c>
      <c r="I64" s="14"/>
      <c r="J64" s="14"/>
      <c r="K64" s="20" t="s">
        <v>89</v>
      </c>
      <c r="L64" s="20"/>
      <c r="M64" s="20"/>
      <c r="N64" s="14"/>
      <c r="O64" s="14" t="s">
        <v>48</v>
      </c>
      <c r="P64" s="14"/>
      <c r="Q64" s="14" t="s">
        <v>48</v>
      </c>
      <c r="R64" s="14"/>
      <c r="S64" s="14" t="s">
        <v>48</v>
      </c>
      <c r="T64" s="14"/>
      <c r="U64" s="14"/>
      <c r="V64" s="14" t="s">
        <v>48</v>
      </c>
      <c r="W64" s="14" t="s">
        <v>48</v>
      </c>
      <c r="X64" s="14" t="s">
        <v>48</v>
      </c>
    </row>
    <row r="65" spans="1:24" x14ac:dyDescent="0.35">
      <c r="A65" s="11" t="s">
        <v>98</v>
      </c>
      <c r="B65" s="13"/>
      <c r="C65" s="13"/>
      <c r="D65" s="13"/>
      <c r="E65" s="13" t="s">
        <v>48</v>
      </c>
      <c r="F65" s="13">
        <f>_xlfn.XLOOKUP(Table1[[#This Row],[Category (FHWA)]],'Data Validation'!$A$2:$A$6,'Data Validation'!$B$2:$B$6)</f>
        <v>5</v>
      </c>
      <c r="G65" s="38" t="s">
        <v>46</v>
      </c>
      <c r="H65" s="46" t="s">
        <v>267</v>
      </c>
      <c r="I65" s="14" t="s">
        <v>48</v>
      </c>
      <c r="J65" s="14"/>
      <c r="K65" s="20" t="s">
        <v>90</v>
      </c>
      <c r="L65" s="20" t="s">
        <v>48</v>
      </c>
      <c r="M65" s="20"/>
      <c r="N65" s="14"/>
      <c r="O65" s="14"/>
      <c r="P65" s="14" t="s">
        <v>48</v>
      </c>
      <c r="Q65" s="14"/>
      <c r="R65" s="14" t="s">
        <v>48</v>
      </c>
      <c r="S65" s="14"/>
      <c r="T65" s="14" t="s">
        <v>48</v>
      </c>
      <c r="U65" s="14"/>
      <c r="V65" s="14"/>
      <c r="W65" s="14" t="s">
        <v>48</v>
      </c>
      <c r="X65" s="14"/>
    </row>
    <row r="66" spans="1:24" ht="29" x14ac:dyDescent="0.35">
      <c r="A66" s="11" t="s">
        <v>99</v>
      </c>
      <c r="B66" s="13"/>
      <c r="C66" s="13"/>
      <c r="D66" s="13"/>
      <c r="E66" s="13" t="s">
        <v>48</v>
      </c>
      <c r="F66" s="13">
        <f>_xlfn.XLOOKUP(Table1[[#This Row],[Category (FHWA)]],'Data Validation'!$A$2:$A$6,'Data Validation'!$B$2:$B$6)</f>
        <v>5</v>
      </c>
      <c r="G66" s="38" t="s">
        <v>46</v>
      </c>
      <c r="H66" s="46" t="s">
        <v>267</v>
      </c>
      <c r="I66" s="14" t="s">
        <v>48</v>
      </c>
      <c r="J66" s="14"/>
      <c r="K66" s="20" t="s">
        <v>92</v>
      </c>
      <c r="L66" s="20" t="s">
        <v>48</v>
      </c>
      <c r="M66" s="20"/>
      <c r="N66" s="14" t="s">
        <v>48</v>
      </c>
      <c r="O66" s="14" t="s">
        <v>48</v>
      </c>
      <c r="P66" s="14"/>
      <c r="Q66" s="14" t="s">
        <v>48</v>
      </c>
      <c r="R66" s="14"/>
      <c r="S66" s="14" t="s">
        <v>48</v>
      </c>
      <c r="T66" s="14"/>
      <c r="U66" s="14" t="s">
        <v>48</v>
      </c>
      <c r="V66" s="14" t="s">
        <v>48</v>
      </c>
      <c r="W66" s="14"/>
      <c r="X66" s="14"/>
    </row>
    <row r="67" spans="1:24" x14ac:dyDescent="0.35">
      <c r="A67" s="11"/>
      <c r="B67" s="13"/>
      <c r="C67" s="13"/>
      <c r="D67" s="13"/>
      <c r="E67" s="13"/>
      <c r="F67" s="13" t="e">
        <f>_xlfn.XLOOKUP(Table1[[#This Row],[Category (FHWA)]],'Data Validation'!$A$2:$A$6,'Data Validation'!$B$2:$B$6)</f>
        <v>#N/A</v>
      </c>
      <c r="G67" s="38"/>
      <c r="H67" s="13"/>
      <c r="I67" s="14"/>
      <c r="J67" s="14"/>
      <c r="K67" s="20"/>
      <c r="L67" s="20"/>
      <c r="M67" s="20"/>
      <c r="N67" s="14"/>
      <c r="O67" s="14"/>
      <c r="P67" s="14"/>
      <c r="Q67" s="14"/>
      <c r="R67" s="14"/>
      <c r="S67" s="14"/>
      <c r="T67" s="14"/>
      <c r="U67" s="14"/>
      <c r="V67" s="14"/>
      <c r="W67" s="14"/>
      <c r="X67" s="14"/>
    </row>
    <row r="68" spans="1:24" x14ac:dyDescent="0.35">
      <c r="A68" s="11"/>
      <c r="B68" s="13"/>
      <c r="C68" s="13"/>
      <c r="D68" s="13"/>
      <c r="E68" s="13"/>
      <c r="F68" s="13" t="e">
        <f>_xlfn.XLOOKUP(Table1[[#This Row],[Category (FHWA)]],'Data Validation'!$A$2:$A$6,'Data Validation'!$B$2:$B$6)</f>
        <v>#N/A</v>
      </c>
      <c r="G68" s="38"/>
      <c r="H68" s="13"/>
      <c r="I68" s="14"/>
      <c r="J68" s="14"/>
      <c r="K68" s="20"/>
      <c r="L68" s="20"/>
      <c r="M68" s="20"/>
      <c r="N68" s="14"/>
      <c r="O68" s="14"/>
      <c r="P68" s="14"/>
      <c r="Q68" s="14"/>
      <c r="R68" s="14"/>
      <c r="S68" s="14"/>
      <c r="T68" s="14"/>
      <c r="U68" s="14"/>
      <c r="V68" s="14"/>
      <c r="W68" s="14"/>
      <c r="X68" s="14"/>
    </row>
    <row r="69" spans="1:24" x14ac:dyDescent="0.35">
      <c r="A69" s="11"/>
      <c r="B69" s="13"/>
      <c r="C69" s="13"/>
      <c r="D69" s="13"/>
      <c r="E69" s="13"/>
      <c r="F69" s="13" t="e">
        <f>_xlfn.XLOOKUP(Table1[[#This Row],[Category (FHWA)]],'Data Validation'!$A$2:$A$6,'Data Validation'!$B$2:$B$6)</f>
        <v>#N/A</v>
      </c>
      <c r="G69" s="38"/>
      <c r="H69" s="13"/>
      <c r="I69" s="14"/>
      <c r="J69" s="14"/>
      <c r="K69" s="20"/>
      <c r="L69" s="20"/>
      <c r="M69" s="20"/>
      <c r="N69" s="14"/>
      <c r="O69" s="14"/>
      <c r="P69" s="14"/>
      <c r="Q69" s="14"/>
      <c r="R69" s="14"/>
      <c r="S69" s="14"/>
      <c r="T69" s="14"/>
      <c r="U69" s="14"/>
      <c r="V69" s="14"/>
      <c r="W69" s="14"/>
      <c r="X69" s="14"/>
    </row>
    <row r="70" spans="1:24" x14ac:dyDescent="0.35">
      <c r="A70" s="11"/>
      <c r="B70" s="13"/>
      <c r="C70" s="13"/>
      <c r="D70" s="13"/>
      <c r="E70" s="13"/>
      <c r="F70" s="13" t="e">
        <f>_xlfn.XLOOKUP(Table1[[#This Row],[Category (FHWA)]],'Data Validation'!$A$2:$A$6,'Data Validation'!$B$2:$B$6)</f>
        <v>#N/A</v>
      </c>
      <c r="G70" s="38"/>
      <c r="H70" s="13"/>
      <c r="I70" s="14"/>
      <c r="J70" s="14"/>
      <c r="K70" s="20"/>
      <c r="L70" s="20"/>
      <c r="M70" s="20"/>
      <c r="N70" s="14"/>
      <c r="O70" s="14"/>
      <c r="P70" s="14"/>
      <c r="Q70" s="14"/>
      <c r="R70" s="14"/>
      <c r="S70" s="14"/>
      <c r="T70" s="14"/>
      <c r="U70" s="14"/>
      <c r="V70" s="14"/>
      <c r="W70" s="14"/>
      <c r="X70" s="14"/>
    </row>
    <row r="71" spans="1:24" x14ac:dyDescent="0.35">
      <c r="A71" s="11"/>
      <c r="B71" s="13"/>
      <c r="C71" s="13"/>
      <c r="D71" s="13"/>
      <c r="E71" s="13"/>
      <c r="F71" s="13" t="e">
        <f>_xlfn.XLOOKUP(Table1[[#This Row],[Category (FHWA)]],'Data Validation'!$A$2:$A$6,'Data Validation'!$B$2:$B$6)</f>
        <v>#N/A</v>
      </c>
      <c r="G71" s="38"/>
      <c r="H71" s="13"/>
      <c r="I71" s="14"/>
      <c r="J71" s="14"/>
      <c r="K71" s="20"/>
      <c r="L71" s="20"/>
      <c r="M71" s="20"/>
      <c r="N71" s="14"/>
      <c r="O71" s="14"/>
      <c r="P71" s="14"/>
      <c r="Q71" s="14"/>
      <c r="R71" s="14"/>
      <c r="S71" s="14"/>
      <c r="T71" s="14"/>
      <c r="U71" s="14"/>
      <c r="V71" s="14"/>
      <c r="W71" s="14"/>
      <c r="X71" s="14"/>
    </row>
    <row r="72" spans="1:24" x14ac:dyDescent="0.35">
      <c r="A72" s="11"/>
      <c r="B72" s="13"/>
      <c r="C72" s="13"/>
      <c r="D72" s="13"/>
      <c r="E72" s="13"/>
      <c r="F72" s="13" t="e">
        <f>_xlfn.XLOOKUP(Table1[[#This Row],[Category (FHWA)]],'Data Validation'!$A$2:$A$6,'Data Validation'!$B$2:$B$6)</f>
        <v>#N/A</v>
      </c>
      <c r="G72" s="38"/>
      <c r="H72" s="13"/>
      <c r="I72" s="14"/>
      <c r="J72" s="14"/>
      <c r="K72" s="20"/>
      <c r="L72" s="20"/>
      <c r="M72" s="20"/>
      <c r="N72" s="14"/>
      <c r="O72" s="14"/>
      <c r="P72" s="14"/>
      <c r="Q72" s="14"/>
      <c r="R72" s="14"/>
      <c r="S72" s="14"/>
      <c r="T72" s="14"/>
      <c r="U72" s="14"/>
      <c r="V72" s="14"/>
      <c r="W72" s="14"/>
      <c r="X72" s="14"/>
    </row>
    <row r="73" spans="1:24" x14ac:dyDescent="0.35">
      <c r="A73" s="11"/>
      <c r="B73" s="13"/>
      <c r="C73" s="13"/>
      <c r="D73" s="13"/>
      <c r="E73" s="13"/>
      <c r="F73" s="13" t="e">
        <f>_xlfn.XLOOKUP(Table1[[#This Row],[Category (FHWA)]],'Data Validation'!$A$2:$A$6,'Data Validation'!$B$2:$B$6)</f>
        <v>#N/A</v>
      </c>
      <c r="G73" s="38"/>
      <c r="H73" s="13"/>
      <c r="I73" s="14"/>
      <c r="J73" s="14"/>
      <c r="K73" s="20"/>
      <c r="L73" s="20"/>
      <c r="M73" s="20"/>
      <c r="N73" s="14"/>
      <c r="O73" s="14"/>
      <c r="P73" s="14"/>
      <c r="Q73" s="14"/>
      <c r="R73" s="14"/>
      <c r="S73" s="14"/>
      <c r="T73" s="14"/>
      <c r="U73" s="14"/>
      <c r="V73" s="14"/>
      <c r="W73" s="14"/>
      <c r="X73" s="14"/>
    </row>
    <row r="74" spans="1:24" x14ac:dyDescent="0.35">
      <c r="A74" s="11"/>
      <c r="B74" s="13"/>
      <c r="C74" s="13"/>
      <c r="D74" s="13"/>
      <c r="E74" s="13"/>
      <c r="F74" s="13" t="e">
        <f>_xlfn.XLOOKUP(Table1[[#This Row],[Category (FHWA)]],'Data Validation'!$A$2:$A$6,'Data Validation'!$B$2:$B$6)</f>
        <v>#N/A</v>
      </c>
      <c r="G74" s="38"/>
      <c r="H74" s="13"/>
      <c r="I74" s="14"/>
      <c r="J74" s="14"/>
      <c r="K74" s="20"/>
      <c r="L74" s="20"/>
      <c r="M74" s="20"/>
      <c r="N74" s="14"/>
      <c r="O74" s="14"/>
      <c r="P74" s="14"/>
      <c r="Q74" s="14"/>
      <c r="R74" s="14"/>
      <c r="S74" s="14"/>
      <c r="T74" s="14"/>
      <c r="U74" s="14"/>
      <c r="V74" s="14"/>
      <c r="W74" s="14"/>
      <c r="X74" s="14"/>
    </row>
    <row r="75" spans="1:24" x14ac:dyDescent="0.35">
      <c r="A75" s="11"/>
      <c r="B75" s="13"/>
      <c r="C75" s="13"/>
      <c r="D75" s="13"/>
      <c r="E75" s="13"/>
      <c r="F75" s="13" t="e">
        <f>_xlfn.XLOOKUP(Table1[[#This Row],[Category (FHWA)]],'Data Validation'!$A$2:$A$6,'Data Validation'!$B$2:$B$6)</f>
        <v>#N/A</v>
      </c>
      <c r="G75" s="38"/>
      <c r="H75" s="13"/>
      <c r="I75" s="14"/>
      <c r="J75" s="14"/>
      <c r="K75" s="20"/>
      <c r="L75" s="20"/>
      <c r="M75" s="20"/>
      <c r="N75" s="14"/>
      <c r="O75" s="14"/>
      <c r="P75" s="14"/>
      <c r="Q75" s="14"/>
      <c r="R75" s="14"/>
      <c r="S75" s="14"/>
      <c r="T75" s="14"/>
      <c r="U75" s="14"/>
      <c r="V75" s="14"/>
      <c r="W75" s="14"/>
      <c r="X75" s="14"/>
    </row>
    <row r="76" spans="1:24" x14ac:dyDescent="0.35">
      <c r="A76" s="11"/>
      <c r="B76" s="13"/>
      <c r="C76" s="13"/>
      <c r="D76" s="13"/>
      <c r="E76" s="13"/>
      <c r="F76" s="13" t="e">
        <f>_xlfn.XLOOKUP(Table1[[#This Row],[Category (FHWA)]],'Data Validation'!$A$2:$A$6,'Data Validation'!$B$2:$B$6)</f>
        <v>#N/A</v>
      </c>
      <c r="G76" s="38"/>
      <c r="H76" s="13"/>
      <c r="I76" s="14"/>
      <c r="J76" s="14"/>
      <c r="K76" s="20"/>
      <c r="L76" s="20"/>
      <c r="M76" s="20"/>
      <c r="N76" s="14"/>
      <c r="O76" s="14"/>
      <c r="P76" s="14"/>
      <c r="Q76" s="14"/>
      <c r="R76" s="14"/>
      <c r="S76" s="14"/>
      <c r="T76" s="14"/>
      <c r="U76" s="14"/>
      <c r="V76" s="14"/>
      <c r="W76" s="14"/>
      <c r="X76" s="14"/>
    </row>
    <row r="77" spans="1:24" x14ac:dyDescent="0.35">
      <c r="A77" s="11"/>
      <c r="B77" s="13"/>
      <c r="C77" s="13"/>
      <c r="D77" s="13"/>
      <c r="E77" s="13"/>
      <c r="F77" s="13" t="e">
        <f>_xlfn.XLOOKUP(Table1[[#This Row],[Category (FHWA)]],'Data Validation'!$A$2:$A$6,'Data Validation'!$B$2:$B$6)</f>
        <v>#N/A</v>
      </c>
      <c r="G77" s="45"/>
      <c r="H77" s="13"/>
      <c r="I77" s="14"/>
      <c r="J77" s="14"/>
      <c r="K77" s="20"/>
      <c r="L77" s="20"/>
      <c r="M77" s="20"/>
      <c r="N77" s="14"/>
      <c r="O77" s="14"/>
      <c r="P77" s="14"/>
      <c r="Q77" s="14"/>
      <c r="R77" s="14"/>
      <c r="S77" s="14"/>
      <c r="T77" s="14"/>
      <c r="U77" s="14"/>
      <c r="V77" s="14"/>
      <c r="W77" s="14"/>
      <c r="X77" s="14"/>
    </row>
  </sheetData>
  <phoneticPr fontId="11"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8659E4CF-DF00-4BFD-94C7-C30CB48DAE00}">
          <x14:formula1>
            <xm:f>'Data Validation'!$A$2:$A$6</xm:f>
          </x14:formula1>
          <xm:sqref>G2:G19 G22:G66</xm:sqref>
        </x14:dataValidation>
        <x14:dataValidation type="list" allowBlank="1" showInputMessage="1" showErrorMessage="1" xr:uid="{55AFC55D-9C20-4112-BCE4-205272F14CCA}">
          <x14:formula1>
            <xm:f>'Data Validation'!$H$2:$H$6</xm:f>
          </x14:formula1>
          <xm:sqref>H2:H19 H22:H76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8C424-795D-4C84-844F-6613920D19EB}">
  <dimension ref="A1:P66"/>
  <sheetViews>
    <sheetView zoomScale="85" zoomScaleNormal="85" workbookViewId="0">
      <pane xSplit="2" ySplit="1" topLeftCell="C37" activePane="bottomRight" state="frozen"/>
      <selection pane="topRight" activeCell="C1" sqref="C1"/>
      <selection pane="bottomLeft" activeCell="A2" sqref="A2"/>
      <selection pane="bottomRight" activeCell="L47" sqref="L47"/>
    </sheetView>
  </sheetViews>
  <sheetFormatPr defaultRowHeight="14.5" x14ac:dyDescent="0.35"/>
  <cols>
    <col min="1" max="1" width="34.26953125" customWidth="1"/>
    <col min="2" max="2" width="36" style="22" customWidth="1"/>
    <col min="3" max="4" width="9.1796875" style="6"/>
    <col min="5" max="5" width="13.26953125" style="6" customWidth="1"/>
    <col min="6" max="6" width="17.81640625" style="22" customWidth="1"/>
    <col min="7" max="7" width="9.1796875" style="6"/>
    <col min="8" max="8" width="27.453125" customWidth="1"/>
    <col min="9" max="9" width="12.453125" bestFit="1" customWidth="1"/>
    <col min="10" max="10" width="6.81640625" bestFit="1" customWidth="1"/>
    <col min="12" max="12" width="12.453125" bestFit="1" customWidth="1"/>
    <col min="13" max="13" width="12.453125" customWidth="1"/>
    <col min="14" max="14" width="14" hidden="1" customWidth="1"/>
  </cols>
  <sheetData>
    <row r="1" spans="1:16" ht="26.5" thickBot="1" x14ac:dyDescent="0.4">
      <c r="A1" s="18" t="s">
        <v>4</v>
      </c>
      <c r="B1" s="19" t="s">
        <v>54</v>
      </c>
      <c r="C1" s="19" t="s">
        <v>5</v>
      </c>
      <c r="D1" s="19" t="s">
        <v>55</v>
      </c>
      <c r="E1" s="19" t="s">
        <v>56</v>
      </c>
      <c r="F1" s="44" t="s">
        <v>103</v>
      </c>
      <c r="G1" s="41" t="s">
        <v>100</v>
      </c>
      <c r="H1" s="7" t="s">
        <v>135</v>
      </c>
      <c r="I1" s="47" t="s">
        <v>270</v>
      </c>
      <c r="J1" s="47" t="s">
        <v>271</v>
      </c>
      <c r="K1" s="7" t="s">
        <v>191</v>
      </c>
      <c r="L1" s="7" t="s">
        <v>12</v>
      </c>
      <c r="M1" s="7" t="s">
        <v>260</v>
      </c>
      <c r="N1" s="7" t="s">
        <v>278</v>
      </c>
    </row>
    <row r="2" spans="1:16" ht="25" x14ac:dyDescent="0.35">
      <c r="A2" s="15" t="s">
        <v>22</v>
      </c>
      <c r="B2" s="24" t="s">
        <v>101</v>
      </c>
      <c r="C2" s="25">
        <v>0.95</v>
      </c>
      <c r="D2" s="26">
        <f>1-C2</f>
        <v>5.0000000000000044E-2</v>
      </c>
      <c r="E2" s="25" t="s">
        <v>102</v>
      </c>
      <c r="F2" s="24" t="s">
        <v>104</v>
      </c>
      <c r="G2" s="25" t="s">
        <v>105</v>
      </c>
      <c r="H2" s="3"/>
      <c r="I2" s="3">
        <v>5</v>
      </c>
      <c r="J2" s="3">
        <v>1</v>
      </c>
      <c r="K2" s="3" t="s">
        <v>11</v>
      </c>
      <c r="L2" s="3" t="str">
        <f>IF(_xlfn.XLOOKUP(A2,Table1[Countermeasure],Table1[Proven Safety Countermeasure])="x","Proven",IF(NOT(ISERROR(SEARCH("CMF",G2))),"Documented",IF(NOT(ISERROR(SEARCH("Big Book",G2))),"Proven",IF(OR(_xlfn.XLOOKUP(A2,Table1[Countermeasure],Table1[NCHRP 926])="x",_xlfn.XLOOKUP(A2,Table1[Countermeasure],Table1[NCHRP 1033])="x"),"Documented","Tried"))))</f>
        <v>Proven</v>
      </c>
      <c r="M2" s="3" t="str" cm="1">
        <f t="array" ref="M2">_xlfn.IFS(N2=0,"Less than 1 year",N2=1,"1 - 2 years",N2&gt;1,"More than 2 years")</f>
        <v>Less than 1 year</v>
      </c>
      <c r="N2">
        <v>0</v>
      </c>
      <c r="P2" s="9"/>
    </row>
    <row r="3" spans="1:16" ht="25" x14ac:dyDescent="0.35">
      <c r="A3" s="15" t="s">
        <v>274</v>
      </c>
      <c r="B3" s="24" t="s">
        <v>107</v>
      </c>
      <c r="C3" s="25" t="s">
        <v>106</v>
      </c>
      <c r="D3" s="26" t="s">
        <v>106</v>
      </c>
      <c r="E3" s="25" t="s">
        <v>106</v>
      </c>
      <c r="F3" s="24" t="s">
        <v>106</v>
      </c>
      <c r="G3" s="25" t="s">
        <v>106</v>
      </c>
      <c r="H3" s="3"/>
      <c r="I3" s="3"/>
      <c r="J3" s="3"/>
      <c r="K3" s="3" t="s">
        <v>11</v>
      </c>
      <c r="L3" s="3" t="str">
        <f>IF(_xlfn.XLOOKUP(A3,Table1[Countermeasure],Table1[Proven Safety Countermeasure])="x","Proven",IF(NOT(ISERROR(SEARCH("CMF",G3))),"Documented",IF(NOT(ISERROR(SEARCH("Big Book",G3))),"Proven",IF(OR(_xlfn.XLOOKUP(A3,Table1[Countermeasure],Table1[NCHRP 926])="x",_xlfn.XLOOKUP(A3,Table1[Countermeasure],Table1[NCHRP 1033])="x"),"Documented","Tried"))))</f>
        <v>Tried</v>
      </c>
      <c r="M3" s="3" t="str" cm="1">
        <f t="array" ref="M3">_xlfn.IFS(N3=0,"Less than 1 year",N3=1,"1 - 2 years",N3&gt;1,"More than 2 years")</f>
        <v>1 - 2 years</v>
      </c>
      <c r="N3">
        <v>1</v>
      </c>
    </row>
    <row r="4" spans="1:16" ht="25" x14ac:dyDescent="0.35">
      <c r="A4" s="16" t="s">
        <v>28</v>
      </c>
      <c r="B4" s="24" t="s">
        <v>28</v>
      </c>
      <c r="C4" s="25">
        <v>0.89</v>
      </c>
      <c r="D4" s="26">
        <f t="shared" ref="D4:D62" si="0">1-C4</f>
        <v>0.10999999999999999</v>
      </c>
      <c r="E4" s="25" t="s">
        <v>110</v>
      </c>
      <c r="F4" s="24" t="s">
        <v>106</v>
      </c>
      <c r="G4" s="25" t="s">
        <v>111</v>
      </c>
      <c r="H4" s="3"/>
      <c r="I4" s="3"/>
      <c r="J4" s="3"/>
      <c r="K4" s="3" t="s">
        <v>11</v>
      </c>
      <c r="L4" s="3" t="str">
        <f>IF(_xlfn.XLOOKUP(A4,Table1[Countermeasure],Table1[Proven Safety Countermeasure])="x","Proven",IF(NOT(ISERROR(SEARCH("CMF",G4))),"Documented",IF(NOT(ISERROR(SEARCH("Big Book",G4))),"Proven",IF(OR(_xlfn.XLOOKUP(A4,Table1[Countermeasure],Table1[NCHRP 926])="x",_xlfn.XLOOKUP(A4,Table1[Countermeasure],Table1[NCHRP 1033])="x"),"Documented","Tried"))))</f>
        <v>Proven</v>
      </c>
      <c r="M4" s="3" t="str" cm="1">
        <f t="array" ref="M4">_xlfn.IFS(N4=0,"Less than 1 year",N4=1,"1 - 2 years",N4&gt;1,"More than 2 years")</f>
        <v>1 - 2 years</v>
      </c>
      <c r="N4">
        <v>1</v>
      </c>
    </row>
    <row r="5" spans="1:16" x14ac:dyDescent="0.35">
      <c r="A5" s="15" t="s">
        <v>30</v>
      </c>
      <c r="B5" s="24" t="s">
        <v>112</v>
      </c>
      <c r="C5" s="25">
        <v>0.78</v>
      </c>
      <c r="D5" s="26">
        <f t="shared" si="0"/>
        <v>0.21999999999999997</v>
      </c>
      <c r="E5" s="25" t="s">
        <v>102</v>
      </c>
      <c r="F5" s="24"/>
      <c r="G5" s="25" t="s">
        <v>251</v>
      </c>
      <c r="H5" s="3"/>
      <c r="I5" s="3"/>
      <c r="J5" s="3"/>
      <c r="K5" s="3" t="s">
        <v>2</v>
      </c>
      <c r="L5" s="3" t="str">
        <f>IF(_xlfn.XLOOKUP(A5,Table1[Countermeasure],Table1[Proven Safety Countermeasure])="x","Proven",IF(NOT(ISERROR(SEARCH("CMF",G5))),"Documented",IF(NOT(ISERROR(SEARCH("Big Book",G5))),"Proven",IF(OR(_xlfn.XLOOKUP(A5,Table1[Countermeasure],Table1[NCHRP 926])="x",_xlfn.XLOOKUP(A5,Table1[Countermeasure],Table1[NCHRP 1033])="x"),"Documented","Tried"))))</f>
        <v>Proven</v>
      </c>
      <c r="M5" s="3" t="str" cm="1">
        <f t="array" ref="M5">_xlfn.IFS(N5=0,"Less than 1 year",N5=1,"1 - 2 years",N5&gt;1,"More than 2 years")</f>
        <v>1 - 2 years</v>
      </c>
      <c r="N5">
        <v>1</v>
      </c>
    </row>
    <row r="6" spans="1:16" ht="25" x14ac:dyDescent="0.35">
      <c r="A6" s="16" t="s">
        <v>35</v>
      </c>
      <c r="B6" s="24" t="s">
        <v>35</v>
      </c>
      <c r="C6" s="25">
        <v>0.83</v>
      </c>
      <c r="D6" s="26">
        <f t="shared" si="0"/>
        <v>0.17000000000000004</v>
      </c>
      <c r="E6" s="25" t="s">
        <v>113</v>
      </c>
      <c r="F6" s="24" t="s">
        <v>115</v>
      </c>
      <c r="G6" s="25" t="s">
        <v>114</v>
      </c>
      <c r="H6" s="3"/>
      <c r="I6" s="3"/>
      <c r="J6" s="3"/>
      <c r="K6" s="3" t="s">
        <v>11</v>
      </c>
      <c r="L6" s="3" t="str">
        <f>IF(_xlfn.XLOOKUP(A6,Table1[Countermeasure],Table1[Proven Safety Countermeasure])="x","Proven",IF(NOT(ISERROR(SEARCH("CMF",G6))),"Documented",IF(NOT(ISERROR(SEARCH("Big Book",G6))),"Proven",IF(OR(_xlfn.XLOOKUP(A6,Table1[Countermeasure],Table1[NCHRP 926])="x",_xlfn.XLOOKUP(A6,Table1[Countermeasure],Table1[NCHRP 1033])="x"),"Documented","Tried"))))</f>
        <v>Proven</v>
      </c>
      <c r="M6" s="3" t="str" cm="1">
        <f t="array" ref="M6">_xlfn.IFS(N6=0,"Less than 1 year",N6=1,"1 - 2 years",N6&gt;1,"More than 2 years")</f>
        <v>Less than 1 year</v>
      </c>
      <c r="N6">
        <v>0</v>
      </c>
    </row>
    <row r="7" spans="1:16" ht="25" x14ac:dyDescent="0.35">
      <c r="A7" s="15" t="s">
        <v>40</v>
      </c>
      <c r="B7" s="27" t="s">
        <v>116</v>
      </c>
      <c r="C7" s="25">
        <v>0.89</v>
      </c>
      <c r="D7" s="26">
        <f t="shared" si="0"/>
        <v>0.10999999999999999</v>
      </c>
      <c r="E7" s="25" t="s">
        <v>110</v>
      </c>
      <c r="F7" s="24" t="s">
        <v>118</v>
      </c>
      <c r="G7" s="25" t="s">
        <v>117</v>
      </c>
      <c r="H7" s="3"/>
      <c r="I7" s="3"/>
      <c r="J7" s="3"/>
      <c r="K7" s="3" t="s">
        <v>2</v>
      </c>
      <c r="L7" s="3" t="str">
        <f>IF(_xlfn.XLOOKUP(A7,Table1[Countermeasure],Table1[Proven Safety Countermeasure])="x","Proven",IF(NOT(ISERROR(SEARCH("CMF",G7))),"Documented",IF(NOT(ISERROR(SEARCH("Big Book",G7))),"Proven",IF(OR(_xlfn.XLOOKUP(A7,Table1[Countermeasure],Table1[NCHRP 926])="x",_xlfn.XLOOKUP(A7,Table1[Countermeasure],Table1[NCHRP 1033])="x"),"Documented","Tried"))))</f>
        <v>Documented</v>
      </c>
      <c r="M7" s="3" t="str" cm="1">
        <f t="array" ref="M7">_xlfn.IFS(N7=0,"Less than 1 year",N7=1,"1 - 2 years",N7&gt;1,"More than 2 years")</f>
        <v>1 - 2 years</v>
      </c>
      <c r="N7">
        <v>1</v>
      </c>
    </row>
    <row r="8" spans="1:16" x14ac:dyDescent="0.35">
      <c r="A8" s="16" t="s">
        <v>69</v>
      </c>
      <c r="B8" s="24" t="s">
        <v>121</v>
      </c>
      <c r="C8" s="25">
        <v>0.57999999999999996</v>
      </c>
      <c r="D8" s="26">
        <f t="shared" si="0"/>
        <v>0.42000000000000004</v>
      </c>
      <c r="E8" s="25" t="s">
        <v>102</v>
      </c>
      <c r="F8" s="24" t="s">
        <v>120</v>
      </c>
      <c r="G8" s="25" t="s">
        <v>119</v>
      </c>
      <c r="H8" s="3"/>
      <c r="I8" s="3"/>
      <c r="J8" s="3"/>
      <c r="K8" s="3" t="s">
        <v>2</v>
      </c>
      <c r="L8" s="3" t="str">
        <f>IF(_xlfn.XLOOKUP(A8,Table1[Countermeasure],Table1[Proven Safety Countermeasure])="x","Proven",IF(NOT(ISERROR(SEARCH("CMF",G8))),"Documented",IF(NOT(ISERROR(SEARCH("Big Book",G8))),"Proven",IF(OR(_xlfn.XLOOKUP(A8,Table1[Countermeasure],Table1[NCHRP 926])="x",_xlfn.XLOOKUP(A8,Table1[Countermeasure],Table1[NCHRP 1033])="x"),"Documented","Tried"))))</f>
        <v>Documented</v>
      </c>
      <c r="M8" s="3" t="str" cm="1">
        <f t="array" ref="M8">_xlfn.IFS(N8=0,"Less than 1 year",N8=1,"1 - 2 years",N8&gt;1,"More than 2 years")</f>
        <v>Less than 1 year</v>
      </c>
      <c r="N8">
        <v>0</v>
      </c>
    </row>
    <row r="9" spans="1:16" ht="37.5" x14ac:dyDescent="0.35">
      <c r="A9" s="15" t="s">
        <v>41</v>
      </c>
      <c r="B9" s="24" t="s">
        <v>122</v>
      </c>
      <c r="C9" s="25">
        <v>0.75</v>
      </c>
      <c r="D9" s="26">
        <f t="shared" si="0"/>
        <v>0.25</v>
      </c>
      <c r="E9" s="25" t="s">
        <v>170</v>
      </c>
      <c r="F9" s="24" t="s">
        <v>123</v>
      </c>
      <c r="G9" s="25" t="s">
        <v>124</v>
      </c>
      <c r="H9" s="3"/>
      <c r="I9" s="3"/>
      <c r="J9" s="3"/>
      <c r="K9" s="3" t="s">
        <v>11</v>
      </c>
      <c r="L9" s="3" t="str">
        <f>IF(_xlfn.XLOOKUP(A9,Table1[Countermeasure],Table1[Proven Safety Countermeasure])="x","Proven",IF(NOT(ISERROR(SEARCH("CMF",G9))),"Documented",IF(NOT(ISERROR(SEARCH("Big Book",G9))),"Proven",IF(OR(_xlfn.XLOOKUP(A9,Table1[Countermeasure],Table1[NCHRP 926])="x",_xlfn.XLOOKUP(A9,Table1[Countermeasure],Table1[NCHRP 1033])="x"),"Documented","Tried"))))</f>
        <v>Documented</v>
      </c>
      <c r="M9" s="3" t="str" cm="1">
        <f t="array" ref="M9">_xlfn.IFS(N9=0,"Less than 1 year",N9=1,"1 - 2 years",N9&gt;1,"More than 2 years")</f>
        <v>Less than 1 year</v>
      </c>
      <c r="N9">
        <v>0</v>
      </c>
    </row>
    <row r="10" spans="1:16" x14ac:dyDescent="0.35">
      <c r="A10" s="16" t="s">
        <v>36</v>
      </c>
      <c r="B10" s="24" t="s">
        <v>125</v>
      </c>
      <c r="C10" s="25" t="s">
        <v>106</v>
      </c>
      <c r="D10" s="26" t="s">
        <v>106</v>
      </c>
      <c r="E10" s="25" t="s">
        <v>106</v>
      </c>
      <c r="F10" s="24" t="s">
        <v>106</v>
      </c>
      <c r="G10" s="25" t="s">
        <v>106</v>
      </c>
      <c r="H10" s="3"/>
      <c r="I10" s="3"/>
      <c r="J10" s="3"/>
      <c r="K10" s="3" t="s">
        <v>10</v>
      </c>
      <c r="L10" s="3" t="str">
        <f>IF(_xlfn.XLOOKUP(A10,Table1[Countermeasure],Table1[Proven Safety Countermeasure])="x","Proven",IF(NOT(ISERROR(SEARCH("CMF",G10))),"Documented",IF(NOT(ISERROR(SEARCH("Big Book",G10))),"Proven",IF(OR(_xlfn.XLOOKUP(A10,Table1[Countermeasure],Table1[NCHRP 926])="x",_xlfn.XLOOKUP(A10,Table1[Countermeasure],Table1[NCHRP 1033])="x"),"Documented","Tried"))))</f>
        <v>Documented</v>
      </c>
      <c r="M10" s="3" t="str" cm="1">
        <f t="array" ref="M10">_xlfn.IFS(N10=0,"Less than 1 year",N10=1,"1 - 2 years",N10&gt;1,"More than 2 years")</f>
        <v>More than 2 years</v>
      </c>
      <c r="N10">
        <v>2</v>
      </c>
    </row>
    <row r="11" spans="1:16" ht="37.5" x14ac:dyDescent="0.35">
      <c r="A11" s="15" t="s">
        <v>276</v>
      </c>
      <c r="B11" s="24" t="s">
        <v>126</v>
      </c>
      <c r="C11" s="25">
        <v>0.36</v>
      </c>
      <c r="D11" s="26">
        <f t="shared" si="0"/>
        <v>0.64</v>
      </c>
      <c r="E11" s="25" t="s">
        <v>110</v>
      </c>
      <c r="F11" s="24" t="s">
        <v>127</v>
      </c>
      <c r="G11" s="25" t="s">
        <v>128</v>
      </c>
      <c r="H11" s="3"/>
      <c r="I11" s="3"/>
      <c r="J11" s="3"/>
      <c r="K11" s="3" t="s">
        <v>2</v>
      </c>
      <c r="L11" s="3" t="str">
        <f>IF(_xlfn.XLOOKUP(A11,Table1[Countermeasure],Table1[Proven Safety Countermeasure])="x","Proven",IF(NOT(ISERROR(SEARCH("CMF",G11))),"Documented",IF(NOT(ISERROR(SEARCH("Big Book",G11))),"Proven",IF(OR(_xlfn.XLOOKUP(A11,Table1[Countermeasure],Table1[NCHRP 926])="x",_xlfn.XLOOKUP(A11,Table1[Countermeasure],Table1[NCHRP 1033])="x"),"Documented","Tried"))))</f>
        <v>Proven</v>
      </c>
      <c r="M11" s="3" t="str" cm="1">
        <f t="array" ref="M11">_xlfn.IFS(N11=0,"Less than 1 year",N11=1,"1 - 2 years",N11&gt;1,"More than 2 years")</f>
        <v>1 - 2 years</v>
      </c>
      <c r="N11">
        <v>1</v>
      </c>
    </row>
    <row r="12" spans="1:16" ht="25" x14ac:dyDescent="0.35">
      <c r="A12" s="16" t="s">
        <v>27</v>
      </c>
      <c r="B12" s="24" t="s">
        <v>129</v>
      </c>
      <c r="C12" s="25">
        <v>0.91</v>
      </c>
      <c r="D12" s="26">
        <f t="shared" si="0"/>
        <v>8.9999999999999969E-2</v>
      </c>
      <c r="E12" s="25" t="s">
        <v>110</v>
      </c>
      <c r="F12" s="24"/>
      <c r="G12" s="25" t="s">
        <v>134</v>
      </c>
      <c r="H12" s="24" t="s">
        <v>136</v>
      </c>
      <c r="I12" s="24"/>
      <c r="J12" s="24"/>
      <c r="K12" s="3" t="s">
        <v>11</v>
      </c>
      <c r="L12" s="3" t="str">
        <f>IF(_xlfn.XLOOKUP(A12,Table1[Countermeasure],Table1[Proven Safety Countermeasure])="x","Proven",IF(NOT(ISERROR(SEARCH("CMF",G12))),"Documented",IF(NOT(ISERROR(SEARCH("Big Book",G12))),"Proven",IF(OR(_xlfn.XLOOKUP(A12,Table1[Countermeasure],Table1[NCHRP 926])="x",_xlfn.XLOOKUP(A12,Table1[Countermeasure],Table1[NCHRP 1033])="x"),"Documented","Tried"))))</f>
        <v>Proven</v>
      </c>
      <c r="M12" s="3" t="str" cm="1">
        <f t="array" ref="M12">_xlfn.IFS(N12=0,"Less than 1 year",N12=1,"1 - 2 years",N12&gt;1,"More than 2 years")</f>
        <v>1 - 2 years</v>
      </c>
      <c r="N12">
        <v>1</v>
      </c>
    </row>
    <row r="13" spans="1:16" ht="25" x14ac:dyDescent="0.35">
      <c r="A13" s="15" t="s">
        <v>97</v>
      </c>
      <c r="B13" s="24" t="s">
        <v>97</v>
      </c>
      <c r="C13" s="25">
        <v>0.7</v>
      </c>
      <c r="D13" s="26">
        <f t="shared" ref="D13" si="1">1-C13</f>
        <v>0.30000000000000004</v>
      </c>
      <c r="E13" s="25" t="s">
        <v>143</v>
      </c>
      <c r="F13" s="24"/>
      <c r="G13" s="25" t="s">
        <v>285</v>
      </c>
      <c r="H13" s="3"/>
      <c r="I13" s="3"/>
      <c r="J13" s="3"/>
      <c r="K13" s="3" t="s">
        <v>11</v>
      </c>
      <c r="L13" s="3" t="str">
        <f>IF(_xlfn.XLOOKUP(A13,Table1[Countermeasure],Table1[Proven Safety Countermeasure])="x","Proven",IF(_xlfn.XLOOKUP(A13,Table1[Countermeasure],Table1[Proven Safety Countermeasure])="Toolbox of Pedestrian Countermeasures","Proven",IF(NOT(ISERROR(SEARCH("CMF",G13))),"Documented",IF(NOT(ISERROR(SEARCH("Big Book",G13))),"Proven",IF(OR(_xlfn.XLOOKUP(A13,Table1[Countermeasure],Table1[NCHRP 926])="x",_xlfn.XLOOKUP(A13,Table1[Countermeasure],Table1[NCHRP 1033])="x"),"Documented","Tried")))))</f>
        <v>Proven</v>
      </c>
      <c r="M13" s="3" t="str" cm="1">
        <f t="array" ref="M13">_xlfn.IFS(N13=0,"Less than 1 year",N13=1,"1 - 2 years",N13&gt;1,"More than 2 years")</f>
        <v>Less than 1 year</v>
      </c>
    </row>
    <row r="14" spans="1:16" ht="25" x14ac:dyDescent="0.35">
      <c r="A14" s="15" t="s">
        <v>284</v>
      </c>
      <c r="B14" s="24" t="s">
        <v>97</v>
      </c>
      <c r="C14" s="25">
        <v>0.8</v>
      </c>
      <c r="D14" s="26">
        <f t="shared" si="0"/>
        <v>0.19999999999999996</v>
      </c>
      <c r="E14" s="25" t="s">
        <v>110</v>
      </c>
      <c r="F14" s="24"/>
      <c r="G14" s="25" t="s">
        <v>111</v>
      </c>
      <c r="H14" s="3"/>
      <c r="I14" s="3"/>
      <c r="J14" s="3"/>
      <c r="K14" s="3" t="s">
        <v>11</v>
      </c>
      <c r="L14" s="3" t="str">
        <f>IF(_xlfn.XLOOKUP(A14,Table1[Countermeasure],Table1[Proven Safety Countermeasure])="x","Proven",IF(NOT(ISERROR(SEARCH("CMF",G14))),"Documented",IF(NOT(ISERROR(SEARCH("Big Book",G14))),"Proven",IF(OR(_xlfn.XLOOKUP(A14,Table1[Countermeasure],Table1[NCHRP 926])="x",_xlfn.XLOOKUP(A14,Table1[Countermeasure],Table1[NCHRP 1033])="x"),"Documented","Tried"))))</f>
        <v>Proven</v>
      </c>
      <c r="M14" s="3" t="str" cm="1">
        <f t="array" ref="M14">_xlfn.IFS(N14=0,"Less than 1 year",N14=1,"1 - 2 years",N14&gt;1,"More than 2 years")</f>
        <v>Less than 1 year</v>
      </c>
      <c r="N14">
        <v>0</v>
      </c>
    </row>
    <row r="15" spans="1:16" x14ac:dyDescent="0.35">
      <c r="A15" s="16" t="s">
        <v>49</v>
      </c>
      <c r="B15" s="24" t="s">
        <v>137</v>
      </c>
      <c r="C15" s="25">
        <v>0.43</v>
      </c>
      <c r="D15" s="26">
        <f t="shared" si="0"/>
        <v>0.57000000000000006</v>
      </c>
      <c r="E15" s="25" t="s">
        <v>102</v>
      </c>
      <c r="F15" s="24"/>
      <c r="G15" s="25" t="s">
        <v>111</v>
      </c>
      <c r="H15" s="3"/>
      <c r="I15" s="3"/>
      <c r="J15" s="3"/>
      <c r="K15" s="3" t="s">
        <v>10</v>
      </c>
      <c r="L15" s="3" t="str">
        <f>IF(_xlfn.XLOOKUP(A15,Table1[Countermeasure],Table1[Proven Safety Countermeasure])="x","Proven",IF(NOT(ISERROR(SEARCH("CMF",G15))),"Documented",IF(NOT(ISERROR(SEARCH("Big Book",G15))),"Proven",IF(OR(_xlfn.XLOOKUP(A15,Table1[Countermeasure],Table1[NCHRP 926])="x",_xlfn.XLOOKUP(A15,Table1[Countermeasure],Table1[NCHRP 1033])="x"),"Documented","Tried"))))</f>
        <v>Proven</v>
      </c>
      <c r="M15" s="3" t="str" cm="1">
        <f t="array" ref="M15">_xlfn.IFS(N15=0,"Less than 1 year",N15=1,"1 - 2 years",N15&gt;1,"More than 2 years")</f>
        <v>More than 2 years</v>
      </c>
      <c r="N15">
        <v>2</v>
      </c>
    </row>
    <row r="16" spans="1:16" x14ac:dyDescent="0.35">
      <c r="A16" s="15" t="s">
        <v>23</v>
      </c>
      <c r="B16" s="24" t="s">
        <v>23</v>
      </c>
      <c r="C16" s="25" t="s">
        <v>106</v>
      </c>
      <c r="D16" s="26" t="s">
        <v>106</v>
      </c>
      <c r="E16" s="25" t="s">
        <v>106</v>
      </c>
      <c r="F16" s="24" t="s">
        <v>106</v>
      </c>
      <c r="G16" s="25" t="s">
        <v>106</v>
      </c>
      <c r="H16" s="25"/>
      <c r="I16" s="25"/>
      <c r="J16" s="25"/>
      <c r="K16" s="25" t="s">
        <v>10</v>
      </c>
      <c r="L16" s="3" t="str">
        <f>IF(_xlfn.XLOOKUP(A16,Table1[Countermeasure],Table1[Proven Safety Countermeasure])="x","Proven",IF(NOT(ISERROR(SEARCH("CMF",G16))),"Documented",IF(NOT(ISERROR(SEARCH("Big Book",G16))),"Proven",IF(OR(_xlfn.XLOOKUP(A16,Table1[Countermeasure],Table1[NCHRP 926])="x",_xlfn.XLOOKUP(A16,Table1[Countermeasure],Table1[NCHRP 1033])="x"),"Documented","Tried"))))</f>
        <v>Proven</v>
      </c>
      <c r="M16" s="3" t="str" cm="1">
        <f t="array" ref="M16">_xlfn.IFS(N16=0,"Less than 1 year",N16=1,"1 - 2 years",N16&gt;1,"More than 2 years")</f>
        <v>More than 2 years</v>
      </c>
      <c r="N16">
        <v>3</v>
      </c>
    </row>
    <row r="17" spans="1:14" ht="37.5" x14ac:dyDescent="0.35">
      <c r="A17" s="16" t="s">
        <v>29</v>
      </c>
      <c r="B17" s="24" t="s">
        <v>138</v>
      </c>
      <c r="C17" s="25">
        <v>0.64</v>
      </c>
      <c r="D17" s="26">
        <f t="shared" si="0"/>
        <v>0.36</v>
      </c>
      <c r="E17" s="25" t="s">
        <v>139</v>
      </c>
      <c r="F17" s="24"/>
      <c r="G17" s="25" t="s">
        <v>140</v>
      </c>
      <c r="H17" s="3"/>
      <c r="I17" s="3"/>
      <c r="J17" s="3"/>
      <c r="K17" s="3" t="s">
        <v>2</v>
      </c>
      <c r="L17" s="3" t="str">
        <f>IF(_xlfn.XLOOKUP(A17,Table1[Countermeasure],Table1[Proven Safety Countermeasure])="x","Proven",IF(NOT(ISERROR(SEARCH("CMF",G17))),"Documented",IF(NOT(ISERROR(SEARCH("Big Book",G17))),"Proven",IF(OR(_xlfn.XLOOKUP(A17,Table1[Countermeasure],Table1[NCHRP 926])="x",_xlfn.XLOOKUP(A17,Table1[Countermeasure],Table1[NCHRP 1033])="x"),"Documented","Tried"))))</f>
        <v>Documented</v>
      </c>
      <c r="M17" s="3" t="str" cm="1">
        <f t="array" ref="M17">_xlfn.IFS(N17=0,"Less than 1 year",N17=1,"1 - 2 years",N17&gt;1,"More than 2 years")</f>
        <v>1 - 2 years</v>
      </c>
      <c r="N17">
        <v>1</v>
      </c>
    </row>
    <row r="18" spans="1:14" x14ac:dyDescent="0.35">
      <c r="A18" s="15" t="s">
        <v>37</v>
      </c>
      <c r="B18" s="24" t="s">
        <v>141</v>
      </c>
      <c r="C18" s="25">
        <v>0.87</v>
      </c>
      <c r="D18" s="26">
        <f t="shared" si="0"/>
        <v>0.13</v>
      </c>
      <c r="E18" s="25" t="s">
        <v>102</v>
      </c>
      <c r="F18" s="24"/>
      <c r="G18" s="25" t="s">
        <v>142</v>
      </c>
      <c r="H18" s="3"/>
      <c r="I18" s="3"/>
      <c r="J18" s="3"/>
      <c r="K18" s="3" t="s">
        <v>11</v>
      </c>
      <c r="L18" s="3" t="str">
        <f>IF(_xlfn.XLOOKUP(A18,Table1[Countermeasure],Table1[Proven Safety Countermeasure])="x","Proven",IF(NOT(ISERROR(SEARCH("CMF",G18))),"Documented",IF(NOT(ISERROR(SEARCH("Big Book",G18))),"Proven",IF(OR(_xlfn.XLOOKUP(A18,Table1[Countermeasure],Table1[NCHRP 926])="x",_xlfn.XLOOKUP(A18,Table1[Countermeasure],Table1[NCHRP 1033])="x"),"Documented","Tried"))))</f>
        <v>Proven</v>
      </c>
      <c r="M18" s="3" t="str" cm="1">
        <f t="array" ref="M18">_xlfn.IFS(N18=0,"Less than 1 year",N18=1,"1 - 2 years",N18&gt;1,"More than 2 years")</f>
        <v>Less than 1 year</v>
      </c>
      <c r="N18">
        <v>0</v>
      </c>
    </row>
    <row r="19" spans="1:14" x14ac:dyDescent="0.35">
      <c r="A19" s="16" t="s">
        <v>96</v>
      </c>
      <c r="B19" s="24" t="s">
        <v>96</v>
      </c>
      <c r="C19" s="25">
        <v>0.63</v>
      </c>
      <c r="D19" s="26">
        <f t="shared" si="0"/>
        <v>0.37</v>
      </c>
      <c r="E19" s="25" t="s">
        <v>143</v>
      </c>
      <c r="F19" s="24"/>
      <c r="G19" s="25" t="s">
        <v>111</v>
      </c>
      <c r="H19" s="3"/>
      <c r="I19" s="3"/>
      <c r="J19" s="3"/>
      <c r="K19" s="3" t="s">
        <v>11</v>
      </c>
      <c r="L19" s="3" t="str">
        <f>IF(_xlfn.XLOOKUP(A19,Table1[Countermeasure],Table1[Proven Safety Countermeasure])="x","Proven",IF(NOT(ISERROR(SEARCH("CMF",G19))),"Documented",IF(NOT(ISERROR(SEARCH("Big Book",G19))),"Proven",IF(OR(_xlfn.XLOOKUP(A19,Table1[Countermeasure],Table1[NCHRP 926])="x",_xlfn.XLOOKUP(A19,Table1[Countermeasure],Table1[NCHRP 1033])="x"),"Documented","Tried"))))</f>
        <v>Proven</v>
      </c>
      <c r="M19" s="3" t="str" cm="1">
        <f t="array" ref="M19">_xlfn.IFS(N19=0,"Less than 1 year",N19=1,"1 - 2 years",N19&gt;1,"More than 2 years")</f>
        <v>Less than 1 year</v>
      </c>
      <c r="N19">
        <v>0</v>
      </c>
    </row>
    <row r="20" spans="1:14" x14ac:dyDescent="0.35">
      <c r="A20" s="15" t="s">
        <v>275</v>
      </c>
      <c r="B20" s="24" t="s">
        <v>144</v>
      </c>
      <c r="C20" s="25">
        <v>0.79</v>
      </c>
      <c r="D20" s="26">
        <f t="shared" si="0"/>
        <v>0.20999999999999996</v>
      </c>
      <c r="E20" s="25" t="s">
        <v>145</v>
      </c>
      <c r="F20" s="24"/>
      <c r="G20" s="25" t="s">
        <v>146</v>
      </c>
      <c r="H20" s="3"/>
      <c r="I20" s="3"/>
      <c r="J20" s="3"/>
      <c r="K20" s="3" t="s">
        <v>11</v>
      </c>
      <c r="L20" s="3" t="str">
        <f>IF(_xlfn.XLOOKUP(A20,Table1[Countermeasure],Table1[Proven Safety Countermeasure])="x","Proven",IF(NOT(ISERROR(SEARCH("CMF",G20))),"Documented",IF(NOT(ISERROR(SEARCH("Big Book",G20))),"Proven",IF(OR(_xlfn.XLOOKUP(A20,Table1[Countermeasure],Table1[NCHRP 926])="x",_xlfn.XLOOKUP(A20,Table1[Countermeasure],Table1[NCHRP 1033])="x"),"Documented","Tried"))))</f>
        <v>Proven</v>
      </c>
      <c r="M20" s="3" t="str" cm="1">
        <f t="array" ref="M20">_xlfn.IFS(N20=0,"Less than 1 year",N20=1,"1 - 2 years",N20&gt;1,"More than 2 years")</f>
        <v>1 - 2 years</v>
      </c>
      <c r="N20">
        <v>1</v>
      </c>
    </row>
    <row r="21" spans="1:14" x14ac:dyDescent="0.35">
      <c r="A21" s="16" t="s">
        <v>277</v>
      </c>
      <c r="B21" s="24" t="s">
        <v>147</v>
      </c>
      <c r="C21" s="25">
        <v>0.64</v>
      </c>
      <c r="D21" s="26">
        <f t="shared" si="0"/>
        <v>0.36</v>
      </c>
      <c r="E21" s="25" t="s">
        <v>145</v>
      </c>
      <c r="F21" s="24" t="s">
        <v>148</v>
      </c>
      <c r="G21" s="25" t="s">
        <v>149</v>
      </c>
      <c r="H21" s="3"/>
      <c r="I21" s="3"/>
      <c r="J21" s="3"/>
      <c r="K21" s="3" t="s">
        <v>10</v>
      </c>
      <c r="L21" s="3" t="str">
        <f>IF(_xlfn.XLOOKUP(A21,Table1[Countermeasure],Table1[Proven Safety Countermeasure])="x","Proven",IF(NOT(ISERROR(SEARCH("CMF",G21))),"Documented",IF(NOT(ISERROR(SEARCH("Big Book",G21))),"Proven",IF(OR(_xlfn.XLOOKUP(A21,Table1[Countermeasure],Table1[NCHRP 926])="x",_xlfn.XLOOKUP(A21,Table1[Countermeasure],Table1[NCHRP 1033])="x"),"Documented","Tried"))))</f>
        <v>Documented</v>
      </c>
      <c r="M21" s="3" t="str" cm="1">
        <f t="array" ref="M21">_xlfn.IFS(N21=0,"Less than 1 year",N21=1,"1 - 2 years",N21&gt;1,"More than 2 years")</f>
        <v>1 - 2 years</v>
      </c>
      <c r="N21">
        <v>1</v>
      </c>
    </row>
    <row r="22" spans="1:14" ht="25" x14ac:dyDescent="0.35">
      <c r="A22" s="15" t="s">
        <v>33</v>
      </c>
      <c r="B22" s="24" t="s">
        <v>184</v>
      </c>
      <c r="C22" s="25">
        <v>0.86</v>
      </c>
      <c r="D22" s="26">
        <f t="shared" si="0"/>
        <v>0.14000000000000001</v>
      </c>
      <c r="E22" s="25" t="s">
        <v>150</v>
      </c>
      <c r="F22" s="24" t="s">
        <v>148</v>
      </c>
      <c r="G22" s="25" t="s">
        <v>111</v>
      </c>
      <c r="H22" s="3"/>
      <c r="I22" s="3"/>
      <c r="J22" s="3"/>
      <c r="K22" s="3" t="s">
        <v>10</v>
      </c>
      <c r="L22" s="3" t="str">
        <f>IF(_xlfn.XLOOKUP(A22,Table1[Countermeasure],Table1[Proven Safety Countermeasure])="x","Proven",IF(NOT(ISERROR(SEARCH("CMF",G22))),"Documented",IF(NOT(ISERROR(SEARCH("Big Book",G22))),"Proven",IF(OR(_xlfn.XLOOKUP(A22,Table1[Countermeasure],Table1[NCHRP 926])="x",_xlfn.XLOOKUP(A22,Table1[Countermeasure],Table1[NCHRP 1033])="x"),"Documented","Tried"))))</f>
        <v>Proven</v>
      </c>
      <c r="M22" s="3" t="str" cm="1">
        <f t="array" ref="M22">_xlfn.IFS(N22=0,"Less than 1 year",N22=1,"1 - 2 years",N22&gt;1,"More than 2 years")</f>
        <v>1 - 2 years</v>
      </c>
      <c r="N22">
        <v>1</v>
      </c>
    </row>
    <row r="23" spans="1:14" x14ac:dyDescent="0.35">
      <c r="A23" s="16" t="s">
        <v>34</v>
      </c>
      <c r="B23" s="24" t="s">
        <v>192</v>
      </c>
      <c r="C23" s="25">
        <v>0.61</v>
      </c>
      <c r="D23" s="26">
        <f t="shared" si="0"/>
        <v>0.39</v>
      </c>
      <c r="E23" s="25" t="s">
        <v>110</v>
      </c>
      <c r="F23" s="24"/>
      <c r="G23" s="25" t="s">
        <v>193</v>
      </c>
      <c r="H23" s="3"/>
      <c r="I23" s="3"/>
      <c r="J23" s="3"/>
      <c r="K23" s="3" t="s">
        <v>10</v>
      </c>
      <c r="L23" s="3" t="str">
        <f>IF(_xlfn.XLOOKUP(A23,Table1[Countermeasure],Table1[Proven Safety Countermeasure])="x","Proven",IF(NOT(ISERROR(SEARCH("CMF",G23))),"Documented",IF(NOT(ISERROR(SEARCH("Big Book",G23))),"Proven",IF(OR(_xlfn.XLOOKUP(A23,Table1[Countermeasure],Table1[NCHRP 926])="x",_xlfn.XLOOKUP(A23,Table1[Countermeasure],Table1[NCHRP 1033])="x"),"Documented","Tried"))))</f>
        <v>Proven</v>
      </c>
      <c r="M23" s="3" t="str" cm="1">
        <f t="array" ref="M23">_xlfn.IFS(N23=0,"Less than 1 year",N23=1,"1 - 2 years",N23&gt;1,"More than 2 years")</f>
        <v>More than 2 years</v>
      </c>
      <c r="N23">
        <v>2</v>
      </c>
    </row>
    <row r="24" spans="1:14" x14ac:dyDescent="0.35">
      <c r="A24" s="15" t="s">
        <v>194</v>
      </c>
      <c r="B24" s="24" t="s">
        <v>195</v>
      </c>
      <c r="C24" s="25">
        <v>0.75</v>
      </c>
      <c r="D24" s="26">
        <f t="shared" si="0"/>
        <v>0.25</v>
      </c>
      <c r="E24" s="25" t="s">
        <v>153</v>
      </c>
      <c r="F24" s="24" t="s">
        <v>196</v>
      </c>
      <c r="G24" s="25" t="s">
        <v>197</v>
      </c>
      <c r="H24" s="3"/>
      <c r="I24" s="3"/>
      <c r="J24" s="3"/>
      <c r="K24" s="3" t="s">
        <v>11</v>
      </c>
      <c r="L24" s="3" t="str">
        <f>IF(_xlfn.XLOOKUP(A24,Table1[Countermeasure],Table1[Proven Safety Countermeasure])="x","Proven",IF(NOT(ISERROR(SEARCH("CMF",G24))),"Documented",IF(NOT(ISERROR(SEARCH("Big Book",G24))),"Proven",IF(OR(_xlfn.XLOOKUP(A24,Table1[Countermeasure],Table1[NCHRP 926])="x",_xlfn.XLOOKUP(A24,Table1[Countermeasure],Table1[NCHRP 1033])="x"),"Documented","Tried"))))</f>
        <v>Proven</v>
      </c>
      <c r="M24" s="3" t="str" cm="1">
        <f t="array" ref="M24">_xlfn.IFS(N24=0,"Less than 1 year",N24=1,"1 - 2 years",N24&gt;1,"More than 2 years")</f>
        <v>Less than 1 year</v>
      </c>
      <c r="N24">
        <v>0</v>
      </c>
    </row>
    <row r="25" spans="1:14" x14ac:dyDescent="0.35">
      <c r="A25" s="17" t="s">
        <v>26</v>
      </c>
      <c r="B25" s="24" t="s">
        <v>198</v>
      </c>
      <c r="C25" s="25">
        <v>0.63500000000000001</v>
      </c>
      <c r="D25" s="26">
        <f t="shared" si="0"/>
        <v>0.36499999999999999</v>
      </c>
      <c r="E25" s="25" t="s">
        <v>110</v>
      </c>
      <c r="F25" s="24"/>
      <c r="G25" s="25" t="s">
        <v>199</v>
      </c>
      <c r="H25" s="3"/>
      <c r="I25" s="3"/>
      <c r="J25" s="3"/>
      <c r="K25" s="3" t="s">
        <v>11</v>
      </c>
      <c r="L25" s="3" t="str">
        <f>IF(_xlfn.XLOOKUP(A25,Table1[Countermeasure],Table1[Proven Safety Countermeasure])="x","Proven",IF(NOT(ISERROR(SEARCH("CMF",G25))),"Documented",IF(NOT(ISERROR(SEARCH("Big Book",G25))),"Proven",IF(OR(_xlfn.XLOOKUP(A25,Table1[Countermeasure],Table1[NCHRP 926])="x",_xlfn.XLOOKUP(A25,Table1[Countermeasure],Table1[NCHRP 1033])="x"),"Documented","Tried"))))</f>
        <v>Proven</v>
      </c>
      <c r="M25" s="3" t="str" cm="1">
        <f t="array" ref="M25">_xlfn.IFS(N25=0,"Less than 1 year",N25=1,"1 - 2 years",N25&gt;1,"More than 2 years")</f>
        <v>Less than 1 year</v>
      </c>
      <c r="N25">
        <v>0</v>
      </c>
    </row>
    <row r="26" spans="1:14" ht="25" x14ac:dyDescent="0.35">
      <c r="A26" s="15" t="s">
        <v>88</v>
      </c>
      <c r="B26" s="24" t="s">
        <v>200</v>
      </c>
      <c r="C26" s="25">
        <v>0.56000000000000005</v>
      </c>
      <c r="D26" s="26">
        <f t="shared" si="0"/>
        <v>0.43999999999999995</v>
      </c>
      <c r="E26" s="25" t="s">
        <v>102</v>
      </c>
      <c r="F26" s="24" t="s">
        <v>253</v>
      </c>
      <c r="G26" s="25" t="s">
        <v>201</v>
      </c>
      <c r="H26" s="3"/>
      <c r="I26" s="3"/>
      <c r="J26" s="3"/>
      <c r="K26" s="3" t="s">
        <v>2</v>
      </c>
      <c r="L26" s="3" t="str">
        <f>IF(_xlfn.XLOOKUP(A26,Table1[Countermeasure],Table1[Proven Safety Countermeasure])="x","Proven",IF(NOT(ISERROR(SEARCH("CMF",G26))),"Documented",IF(NOT(ISERROR(SEARCH("Big Book",G26))),"Proven",IF(OR(_xlfn.XLOOKUP(A26,Table1[Countermeasure],Table1[NCHRP 926])="x",_xlfn.XLOOKUP(A26,Table1[Countermeasure],Table1[NCHRP 1033])="x"),"Documented","Tried"))))</f>
        <v>Proven</v>
      </c>
      <c r="M26" s="3" t="str" cm="1">
        <f t="array" ref="M26">_xlfn.IFS(N26=0,"Less than 1 year",N26=1,"1 - 2 years",N26&gt;1,"More than 2 years")</f>
        <v>Less than 1 year</v>
      </c>
      <c r="N26">
        <v>0</v>
      </c>
    </row>
    <row r="27" spans="1:14" x14ac:dyDescent="0.35">
      <c r="A27" s="16" t="s">
        <v>31</v>
      </c>
      <c r="B27" s="24" t="s">
        <v>202</v>
      </c>
      <c r="C27" s="25">
        <v>0.68</v>
      </c>
      <c r="D27" s="26">
        <f t="shared" si="0"/>
        <v>0.31999999999999995</v>
      </c>
      <c r="E27" s="25" t="s">
        <v>145</v>
      </c>
      <c r="F27" s="24" t="s">
        <v>203</v>
      </c>
      <c r="G27" s="25" t="s">
        <v>204</v>
      </c>
      <c r="H27" s="3"/>
      <c r="I27" s="3"/>
      <c r="J27" s="3"/>
      <c r="K27" s="3" t="s">
        <v>11</v>
      </c>
      <c r="L27" s="3" t="str">
        <f>IF(_xlfn.XLOOKUP(A27,Table1[Countermeasure],Table1[Proven Safety Countermeasure])="x","Proven",IF(NOT(ISERROR(SEARCH("CMF",G27))),"Documented",IF(NOT(ISERROR(SEARCH("Big Book",G27))),"Proven",IF(OR(_xlfn.XLOOKUP(A27,Table1[Countermeasure],Table1[NCHRP 926])="x",_xlfn.XLOOKUP(A27,Table1[Countermeasure],Table1[NCHRP 1033])="x"),"Documented","Tried"))))</f>
        <v>Proven</v>
      </c>
      <c r="M27" s="3" t="str" cm="1">
        <f t="array" ref="M27">_xlfn.IFS(N27=0,"Less than 1 year",N27=1,"1 - 2 years",N27&gt;1,"More than 2 years")</f>
        <v>Less than 1 year</v>
      </c>
      <c r="N27">
        <v>0</v>
      </c>
    </row>
    <row r="28" spans="1:14" x14ac:dyDescent="0.35">
      <c r="A28" s="15" t="s">
        <v>32</v>
      </c>
      <c r="B28" s="24" t="s">
        <v>205</v>
      </c>
      <c r="C28" s="25">
        <v>0.64</v>
      </c>
      <c r="D28" s="26">
        <f t="shared" si="0"/>
        <v>0.36</v>
      </c>
      <c r="E28" s="25" t="s">
        <v>145</v>
      </c>
      <c r="F28" s="24" t="s">
        <v>203</v>
      </c>
      <c r="G28" s="25" t="s">
        <v>206</v>
      </c>
      <c r="H28" s="3"/>
      <c r="I28" s="3"/>
      <c r="J28" s="3"/>
      <c r="K28" s="3" t="s">
        <v>11</v>
      </c>
      <c r="L28" s="3" t="str">
        <f>IF(_xlfn.XLOOKUP(A28,Table1[Countermeasure],Table1[Proven Safety Countermeasure])="x","Proven",IF(NOT(ISERROR(SEARCH("CMF",G28))),"Documented",IF(NOT(ISERROR(SEARCH("Big Book",G28))),"Proven",IF(OR(_xlfn.XLOOKUP(A28,Table1[Countermeasure],Table1[NCHRP 926])="x",_xlfn.XLOOKUP(A28,Table1[Countermeasure],Table1[NCHRP 1033])="x"),"Documented","Tried"))))</f>
        <v>Proven</v>
      </c>
      <c r="M28" s="3" t="str" cm="1">
        <f t="array" ref="M28">_xlfn.IFS(N28=0,"Less than 1 year",N28=1,"1 - 2 years",N28&gt;1,"More than 2 years")</f>
        <v>Less than 1 year</v>
      </c>
      <c r="N28">
        <v>0</v>
      </c>
    </row>
    <row r="29" spans="1:14" ht="25" x14ac:dyDescent="0.35">
      <c r="A29" s="16" t="s">
        <v>16</v>
      </c>
      <c r="B29" s="24" t="s">
        <v>209</v>
      </c>
      <c r="C29" s="25" t="s">
        <v>106</v>
      </c>
      <c r="D29" s="26" t="s">
        <v>106</v>
      </c>
      <c r="E29" s="25" t="s">
        <v>106</v>
      </c>
      <c r="F29" s="24" t="s">
        <v>106</v>
      </c>
      <c r="G29" s="25" t="s">
        <v>106</v>
      </c>
      <c r="H29" s="3"/>
      <c r="I29" s="3"/>
      <c r="J29" s="3"/>
      <c r="K29" s="3" t="s">
        <v>11</v>
      </c>
      <c r="L29" s="3" t="str">
        <f>IF(_xlfn.XLOOKUP(A29,Table1[Countermeasure],Table1[Proven Safety Countermeasure])="x","Proven",IF(NOT(ISERROR(SEARCH("CMF",G29))),"Documented",IF(NOT(ISERROR(SEARCH("Big Book",G29))),"Proven",IF(OR(_xlfn.XLOOKUP(A29,Table1[Countermeasure],Table1[NCHRP 926])="x",_xlfn.XLOOKUP(A29,Table1[Countermeasure],Table1[NCHRP 1033])="x"),"Documented","Tried"))))</f>
        <v>Proven</v>
      </c>
      <c r="M29" s="3" t="str" cm="1">
        <f t="array" ref="M29">_xlfn.IFS(N29=0,"Less than 1 year",N29=1,"1 - 2 years",N29&gt;1,"More than 2 years")</f>
        <v>Less than 1 year</v>
      </c>
      <c r="N29">
        <v>0</v>
      </c>
    </row>
    <row r="30" spans="1:14" ht="37.5" x14ac:dyDescent="0.35">
      <c r="A30" s="15" t="s">
        <v>17</v>
      </c>
      <c r="B30" s="24" t="s">
        <v>207</v>
      </c>
      <c r="C30" s="25">
        <v>0.65</v>
      </c>
      <c r="D30" s="26">
        <f t="shared" si="0"/>
        <v>0.35</v>
      </c>
      <c r="E30" s="25" t="s">
        <v>102</v>
      </c>
      <c r="F30" s="24" t="s">
        <v>254</v>
      </c>
      <c r="G30" s="25" t="s">
        <v>208</v>
      </c>
      <c r="H30" s="3"/>
      <c r="I30" s="3"/>
      <c r="J30" s="3"/>
      <c r="K30" s="3" t="s">
        <v>11</v>
      </c>
      <c r="L30" s="3" t="str">
        <f>IF(_xlfn.XLOOKUP(A30,Table1[Countermeasure],Table1[Proven Safety Countermeasure])="x","Proven",IF(NOT(ISERROR(SEARCH("CMF",G30))),"Documented",IF(NOT(ISERROR(SEARCH("Big Book",G30))),"Proven",IF(OR(_xlfn.XLOOKUP(A30,Table1[Countermeasure],Table1[NCHRP 926])="x",_xlfn.XLOOKUP(A30,Table1[Countermeasure],Table1[NCHRP 1033])="x"),"Documented","Tried"))))</f>
        <v>Proven</v>
      </c>
      <c r="M30" s="3" t="str" cm="1">
        <f t="array" ref="M30">_xlfn.IFS(N30=0,"Less than 1 year",N30=1,"1 - 2 years",N30&gt;1,"More than 2 years")</f>
        <v>Less than 1 year</v>
      </c>
      <c r="N30">
        <v>0</v>
      </c>
    </row>
    <row r="31" spans="1:14" x14ac:dyDescent="0.35">
      <c r="A31" s="16" t="s">
        <v>18</v>
      </c>
      <c r="B31" s="24" t="s">
        <v>210</v>
      </c>
      <c r="C31" s="25">
        <v>0.48799999999999999</v>
      </c>
      <c r="D31" s="26">
        <f t="shared" si="0"/>
        <v>0.51200000000000001</v>
      </c>
      <c r="E31" s="25" t="s">
        <v>110</v>
      </c>
      <c r="F31" s="24"/>
      <c r="G31" s="25" t="s">
        <v>211</v>
      </c>
      <c r="H31" s="3"/>
      <c r="I31" s="3"/>
      <c r="J31" s="3"/>
      <c r="K31" s="3" t="s">
        <v>10</v>
      </c>
      <c r="L31" s="3" t="str">
        <f>IF(_xlfn.XLOOKUP(A31,Table1[Countermeasure],Table1[Proven Safety Countermeasure])="x","Proven",IF(NOT(ISERROR(SEARCH("CMF",G31))),"Documented",IF(NOT(ISERROR(SEARCH("Big Book",G31))),"Proven",IF(OR(_xlfn.XLOOKUP(A31,Table1[Countermeasure],Table1[NCHRP 926])="x",_xlfn.XLOOKUP(A31,Table1[Countermeasure],Table1[NCHRP 1033])="x"),"Documented","Tried"))))</f>
        <v>Proven</v>
      </c>
      <c r="M31" s="3" t="str" cm="1">
        <f t="array" ref="M31">_xlfn.IFS(N31=0,"Less than 1 year",N31=1,"1 - 2 years",N31&gt;1,"More than 2 years")</f>
        <v>More than 2 years</v>
      </c>
      <c r="N31">
        <v>3</v>
      </c>
    </row>
    <row r="32" spans="1:14" ht="25" x14ac:dyDescent="0.35">
      <c r="A32" s="15" t="s">
        <v>57</v>
      </c>
      <c r="B32" s="24" t="s">
        <v>212</v>
      </c>
      <c r="C32" s="25">
        <v>0.56000000000000005</v>
      </c>
      <c r="D32" s="26">
        <f t="shared" si="0"/>
        <v>0.43999999999999995</v>
      </c>
      <c r="E32" s="25" t="s">
        <v>102</v>
      </c>
      <c r="F32" s="24" t="s">
        <v>213</v>
      </c>
      <c r="G32" s="25" t="s">
        <v>214</v>
      </c>
      <c r="H32" s="3"/>
      <c r="I32" s="3"/>
      <c r="J32" s="3"/>
      <c r="K32" s="3" t="s">
        <v>10</v>
      </c>
      <c r="L32" s="3" t="str">
        <f>IF(_xlfn.XLOOKUP(A32,Table1[Countermeasure],Table1[Proven Safety Countermeasure])="x","Proven",IF(NOT(ISERROR(SEARCH("CMF",G32))),"Documented",IF(NOT(ISERROR(SEARCH("Big Book",G32))),"Proven",IF(OR(_xlfn.XLOOKUP(A32,Table1[Countermeasure],Table1[NCHRP 926])="x",_xlfn.XLOOKUP(A32,Table1[Countermeasure],Table1[NCHRP 1033])="x"),"Documented","Tried"))))</f>
        <v>Proven</v>
      </c>
      <c r="M32" s="3" t="str" cm="1">
        <f t="array" ref="M32">_xlfn.IFS(N32=0,"Less than 1 year",N32=1,"1 - 2 years",N32&gt;1,"More than 2 years")</f>
        <v>More than 2 years</v>
      </c>
      <c r="N32">
        <v>3</v>
      </c>
    </row>
    <row r="33" spans="1:14" ht="25" x14ac:dyDescent="0.35">
      <c r="A33" s="16" t="s">
        <v>179</v>
      </c>
      <c r="B33" s="24" t="s">
        <v>173</v>
      </c>
      <c r="C33" s="25">
        <v>0.37</v>
      </c>
      <c r="D33" s="26">
        <f t="shared" si="0"/>
        <v>0.63</v>
      </c>
      <c r="E33" s="25" t="s">
        <v>110</v>
      </c>
      <c r="F33" s="24"/>
      <c r="G33" s="25" t="s">
        <v>174</v>
      </c>
      <c r="H33" s="3"/>
      <c r="I33" s="3"/>
      <c r="J33" s="3"/>
      <c r="K33" s="3" t="s">
        <v>10</v>
      </c>
      <c r="L33" s="3" t="str">
        <f>IF(_xlfn.XLOOKUP(A33,Table1[Countermeasure],Table1[Proven Safety Countermeasure])="x","Proven",IF(NOT(ISERROR(SEARCH("CMF",G33))),"Documented",IF(NOT(ISERROR(SEARCH("Big Book",G33))),"Proven",IF(OR(_xlfn.XLOOKUP(A33,Table1[Countermeasure],Table1[NCHRP 926])="x",_xlfn.XLOOKUP(A33,Table1[Countermeasure],Table1[NCHRP 1033])="x"),"Documented","Tried"))))</f>
        <v>Proven</v>
      </c>
      <c r="M33" s="3" t="str" cm="1">
        <f t="array" ref="M33">_xlfn.IFS(N33=0,"Less than 1 year",N33=1,"1 - 2 years",N33&gt;1,"More than 2 years")</f>
        <v>More than 2 years</v>
      </c>
      <c r="N33">
        <v>3</v>
      </c>
    </row>
    <row r="34" spans="1:14" ht="25" x14ac:dyDescent="0.35">
      <c r="A34" s="15" t="s">
        <v>180</v>
      </c>
      <c r="B34" s="24" t="s">
        <v>172</v>
      </c>
      <c r="C34" s="25">
        <v>0.84599999999999997</v>
      </c>
      <c r="D34" s="26">
        <f t="shared" si="0"/>
        <v>0.15400000000000003</v>
      </c>
      <c r="E34" s="25" t="s">
        <v>110</v>
      </c>
      <c r="F34" s="24"/>
      <c r="G34" s="25" t="s">
        <v>175</v>
      </c>
      <c r="H34" s="3"/>
      <c r="I34" s="3"/>
      <c r="J34" s="3"/>
      <c r="K34" s="3" t="s">
        <v>10</v>
      </c>
      <c r="L34" s="3" t="str">
        <f>IF(_xlfn.XLOOKUP(A34,Table1[Countermeasure],Table1[Proven Safety Countermeasure])="x","Proven",IF(NOT(ISERROR(SEARCH("CMF",G34))),"Documented",IF(NOT(ISERROR(SEARCH("Big Book",G34))),"Proven",IF(OR(_xlfn.XLOOKUP(A34,Table1[Countermeasure],Table1[NCHRP 926])="x",_xlfn.XLOOKUP(A34,Table1[Countermeasure],Table1[NCHRP 1033])="x"),"Documented","Tried"))))</f>
        <v>Proven</v>
      </c>
      <c r="M34" s="3" t="str" cm="1">
        <f t="array" ref="M34">_xlfn.IFS(N34=0,"Less than 1 year",N34=1,"1 - 2 years",N34&gt;1,"More than 2 years")</f>
        <v>More than 2 years</v>
      </c>
      <c r="N34">
        <v>3</v>
      </c>
    </row>
    <row r="35" spans="1:14" ht="25" x14ac:dyDescent="0.35">
      <c r="A35" s="16" t="s">
        <v>181</v>
      </c>
      <c r="B35" s="24" t="s">
        <v>178</v>
      </c>
      <c r="C35" s="25">
        <v>0.85</v>
      </c>
      <c r="D35" s="26">
        <f t="shared" si="0"/>
        <v>0.15000000000000002</v>
      </c>
      <c r="E35" s="25" t="s">
        <v>102</v>
      </c>
      <c r="F35" s="24"/>
      <c r="G35" s="25" t="s">
        <v>176</v>
      </c>
      <c r="H35" s="3"/>
      <c r="I35" s="3"/>
      <c r="J35" s="3"/>
      <c r="K35" s="3" t="s">
        <v>10</v>
      </c>
      <c r="L35" s="3" t="str">
        <f>IF(_xlfn.XLOOKUP(A35,Table1[Countermeasure],Table1[Proven Safety Countermeasure])="x","Proven",IF(NOT(ISERROR(SEARCH("CMF",G35))),"Documented",IF(NOT(ISERROR(SEARCH("Big Book",G35))),"Proven",IF(OR(_xlfn.XLOOKUP(A35,Table1[Countermeasure],Table1[NCHRP 926])="x",_xlfn.XLOOKUP(A35,Table1[Countermeasure],Table1[NCHRP 1033])="x"),"Documented","Tried"))))</f>
        <v>Proven</v>
      </c>
      <c r="M35" s="3" t="str" cm="1">
        <f t="array" ref="M35">_xlfn.IFS(N35=0,"Less than 1 year",N35=1,"1 - 2 years",N35&gt;1,"More than 2 years")</f>
        <v>More than 2 years</v>
      </c>
      <c r="N35">
        <v>3</v>
      </c>
    </row>
    <row r="36" spans="1:14" ht="25" x14ac:dyDescent="0.35">
      <c r="A36" s="15" t="s">
        <v>182</v>
      </c>
      <c r="B36" s="24" t="s">
        <v>183</v>
      </c>
      <c r="C36" s="25">
        <v>0.65</v>
      </c>
      <c r="D36" s="26">
        <f t="shared" si="0"/>
        <v>0.35</v>
      </c>
      <c r="E36" s="25" t="s">
        <v>102</v>
      </c>
      <c r="F36" s="24"/>
      <c r="G36" s="25" t="s">
        <v>177</v>
      </c>
      <c r="H36" s="3"/>
      <c r="I36" s="3"/>
      <c r="J36" s="3"/>
      <c r="K36" s="3" t="s">
        <v>10</v>
      </c>
      <c r="L36" s="3" t="str">
        <f>IF(_xlfn.XLOOKUP(A36,Table1[Countermeasure],Table1[Proven Safety Countermeasure])="x","Proven",IF(NOT(ISERROR(SEARCH("CMF",G36))),"Documented",IF(NOT(ISERROR(SEARCH("Big Book",G36))),"Proven",IF(OR(_xlfn.XLOOKUP(A36,Table1[Countermeasure],Table1[NCHRP 926])="x",_xlfn.XLOOKUP(A36,Table1[Countermeasure],Table1[NCHRP 1033])="x"),"Documented","Tried"))))</f>
        <v>Proven</v>
      </c>
      <c r="M36" s="3" t="str" cm="1">
        <f t="array" ref="M36">_xlfn.IFS(N36=0,"Less than 1 year",N36=1,"1 - 2 years",N36&gt;1,"More than 2 years")</f>
        <v>More than 2 years</v>
      </c>
      <c r="N36">
        <v>3</v>
      </c>
    </row>
    <row r="37" spans="1:14" ht="25" x14ac:dyDescent="0.35">
      <c r="A37" s="16" t="s">
        <v>72</v>
      </c>
      <c r="B37" s="24" t="s">
        <v>72</v>
      </c>
      <c r="C37" s="25">
        <v>0.8</v>
      </c>
      <c r="D37" s="26">
        <f t="shared" si="0"/>
        <v>0.19999999999999996</v>
      </c>
      <c r="E37" s="25" t="s">
        <v>170</v>
      </c>
      <c r="F37" s="24"/>
      <c r="G37" s="25" t="s">
        <v>171</v>
      </c>
      <c r="H37" s="3"/>
      <c r="I37" s="3"/>
      <c r="J37" s="3"/>
      <c r="K37" s="3" t="s">
        <v>10</v>
      </c>
      <c r="L37" s="3" t="str">
        <f>IF(_xlfn.XLOOKUP(A37,Table1[Countermeasure],Table1[Proven Safety Countermeasure])="x","Proven",IF(NOT(ISERROR(SEARCH("CMF",G37))),"Documented",IF(NOT(ISERROR(SEARCH("Big Book",G37))),"Proven",IF(OR(_xlfn.XLOOKUP(A37,Table1[Countermeasure],Table1[NCHRP 926])="x",_xlfn.XLOOKUP(A37,Table1[Countermeasure],Table1[NCHRP 1033])="x"),"Documented","Tried"))))</f>
        <v>Documented</v>
      </c>
      <c r="M37" s="3" t="str" cm="1">
        <f t="array" ref="M37">_xlfn.IFS(N37=0,"Less than 1 year",N37=1,"1 - 2 years",N37&gt;1,"More than 2 years")</f>
        <v>1 - 2 years</v>
      </c>
      <c r="N37">
        <v>1</v>
      </c>
    </row>
    <row r="38" spans="1:14" ht="25" x14ac:dyDescent="0.35">
      <c r="A38" s="15" t="s">
        <v>75</v>
      </c>
      <c r="B38" s="24" t="s">
        <v>75</v>
      </c>
      <c r="C38" s="25">
        <v>0.39700000000000002</v>
      </c>
      <c r="D38" s="26">
        <f t="shared" si="0"/>
        <v>0.60299999999999998</v>
      </c>
      <c r="E38" s="25" t="s">
        <v>168</v>
      </c>
      <c r="F38" s="24"/>
      <c r="G38" s="25" t="s">
        <v>169</v>
      </c>
      <c r="H38" s="3"/>
      <c r="I38" s="3"/>
      <c r="J38" s="3"/>
      <c r="K38" s="3" t="s">
        <v>2</v>
      </c>
      <c r="L38" s="3" t="str">
        <f>IF(_xlfn.XLOOKUP(A38,Table1[Countermeasure],Table1[Proven Safety Countermeasure])="x","Proven",IF(NOT(ISERROR(SEARCH("CMF",G38))),"Documented",IF(NOT(ISERROR(SEARCH("Big Book",G38))),"Proven",IF(OR(_xlfn.XLOOKUP(A38,Table1[Countermeasure],Table1[NCHRP 926])="x",_xlfn.XLOOKUP(A38,Table1[Countermeasure],Table1[NCHRP 1033])="x"),"Documented","Tried"))))</f>
        <v>Documented</v>
      </c>
      <c r="M38" s="3" t="str" cm="1">
        <f t="array" ref="M38">_xlfn.IFS(N38=0,"Less than 1 year",N38=1,"1 - 2 years",N38&gt;1,"More than 2 years")</f>
        <v>1 - 2 years</v>
      </c>
      <c r="N38">
        <v>1</v>
      </c>
    </row>
    <row r="39" spans="1:14" ht="25" x14ac:dyDescent="0.35">
      <c r="A39" s="16" t="s">
        <v>76</v>
      </c>
      <c r="B39" s="24" t="s">
        <v>76</v>
      </c>
      <c r="C39" s="25">
        <v>0.56399999999999995</v>
      </c>
      <c r="D39" s="26">
        <f t="shared" si="0"/>
        <v>0.43600000000000005</v>
      </c>
      <c r="E39" s="25" t="s">
        <v>110</v>
      </c>
      <c r="F39" s="24"/>
      <c r="G39" s="25" t="s">
        <v>164</v>
      </c>
      <c r="H39" s="3"/>
      <c r="I39" s="3"/>
      <c r="J39" s="3"/>
      <c r="K39" s="3" t="s">
        <v>2</v>
      </c>
      <c r="L39" s="3" t="str">
        <f>IF(_xlfn.XLOOKUP(A39,Table1[Countermeasure],Table1[Proven Safety Countermeasure])="x","Proven",IF(NOT(ISERROR(SEARCH("CMF",G39))),"Documented",IF(NOT(ISERROR(SEARCH("Big Book",G39))),"Proven",IF(OR(_xlfn.XLOOKUP(A39,Table1[Countermeasure],Table1[NCHRP 926])="x",_xlfn.XLOOKUP(A39,Table1[Countermeasure],Table1[NCHRP 1033])="x"),"Documented","Tried"))))</f>
        <v>Documented</v>
      </c>
      <c r="M39" s="3" t="str" cm="1">
        <f t="array" ref="M39">_xlfn.IFS(N39=0,"Less than 1 year",N39=1,"1 - 2 years",N39&gt;1,"More than 2 years")</f>
        <v>1 - 2 years</v>
      </c>
      <c r="N39">
        <v>1</v>
      </c>
    </row>
    <row r="40" spans="1:14" ht="25" x14ac:dyDescent="0.35">
      <c r="A40" s="15" t="s">
        <v>77</v>
      </c>
      <c r="B40" s="24" t="s">
        <v>77</v>
      </c>
      <c r="C40" s="25">
        <v>0.41</v>
      </c>
      <c r="D40" s="26">
        <f t="shared" si="0"/>
        <v>0.59000000000000008</v>
      </c>
      <c r="E40" s="25" t="s">
        <v>102</v>
      </c>
      <c r="F40" s="24"/>
      <c r="G40" s="25" t="s">
        <v>163</v>
      </c>
      <c r="H40" s="3"/>
      <c r="I40" s="3"/>
      <c r="J40" s="3"/>
      <c r="K40" s="3" t="s">
        <v>2</v>
      </c>
      <c r="L40" s="3" t="str">
        <f>IF(_xlfn.XLOOKUP(A40,Table1[Countermeasure],Table1[Proven Safety Countermeasure])="x","Proven",IF(NOT(ISERROR(SEARCH("CMF",G40))),"Documented",IF(NOT(ISERROR(SEARCH("Big Book",G40))),"Proven",IF(OR(_xlfn.XLOOKUP(A40,Table1[Countermeasure],Table1[NCHRP 926])="x",_xlfn.XLOOKUP(A40,Table1[Countermeasure],Table1[NCHRP 1033])="x"),"Documented","Tried"))))</f>
        <v>Documented</v>
      </c>
      <c r="M40" s="3" t="str" cm="1">
        <f t="array" ref="M40">_xlfn.IFS(N40=0,"Less than 1 year",N40=1,"1 - 2 years",N40&gt;1,"More than 2 years")</f>
        <v>1 - 2 years</v>
      </c>
      <c r="N40">
        <v>1</v>
      </c>
    </row>
    <row r="41" spans="1:14" ht="25" x14ac:dyDescent="0.35">
      <c r="A41" s="16" t="s">
        <v>78</v>
      </c>
      <c r="B41" s="24" t="s">
        <v>78</v>
      </c>
      <c r="C41" s="25" t="s">
        <v>165</v>
      </c>
      <c r="D41" s="26" t="s">
        <v>106</v>
      </c>
      <c r="E41" s="25" t="s">
        <v>102</v>
      </c>
      <c r="F41" s="24" t="s">
        <v>166</v>
      </c>
      <c r="G41" s="25" t="s">
        <v>167</v>
      </c>
      <c r="H41" s="3"/>
      <c r="I41" s="3"/>
      <c r="J41" s="3"/>
      <c r="K41" s="3" t="s">
        <v>11</v>
      </c>
      <c r="L41" s="3" t="str">
        <f>IF(_xlfn.XLOOKUP(A41,Table1[Countermeasure],Table1[Proven Safety Countermeasure])="x","Proven",IF(NOT(ISERROR(SEARCH("CMF",G41))),"Documented",IF(NOT(ISERROR(SEARCH("Big Book",G41))),"Proven",IF(OR(_xlfn.XLOOKUP(A41,Table1[Countermeasure],Table1[NCHRP 926])="x",_xlfn.XLOOKUP(A41,Table1[Countermeasure],Table1[NCHRP 1033])="x"),"Documented","Tried"))))</f>
        <v>Documented</v>
      </c>
      <c r="M41" s="3" t="str" cm="1">
        <f t="array" ref="M41">_xlfn.IFS(N41=0,"Less than 1 year",N41=1,"1 - 2 years",N41&gt;1,"More than 2 years")</f>
        <v>1 - 2 years</v>
      </c>
      <c r="N41">
        <v>1</v>
      </c>
    </row>
    <row r="42" spans="1:14" ht="25" x14ac:dyDescent="0.35">
      <c r="A42" s="15" t="s">
        <v>79</v>
      </c>
      <c r="B42" s="24" t="s">
        <v>161</v>
      </c>
      <c r="C42" s="25">
        <v>0.7</v>
      </c>
      <c r="D42" s="26">
        <f t="shared" si="0"/>
        <v>0.30000000000000004</v>
      </c>
      <c r="E42" s="25" t="s">
        <v>102</v>
      </c>
      <c r="F42" s="24" t="s">
        <v>162</v>
      </c>
      <c r="G42" s="25" t="s">
        <v>111</v>
      </c>
      <c r="H42" s="3"/>
      <c r="I42" s="3"/>
      <c r="J42" s="3"/>
      <c r="K42" s="3" t="s">
        <v>10</v>
      </c>
      <c r="L42" s="3" t="str">
        <f>IF(_xlfn.XLOOKUP(A42,Table1[Countermeasure],Table1[Proven Safety Countermeasure])="x","Proven",IF(NOT(ISERROR(SEARCH("CMF",G42))),"Documented",IF(NOT(ISERROR(SEARCH("Big Book",G42))),"Proven",IF(OR(_xlfn.XLOOKUP(A42,Table1[Countermeasure],Table1[NCHRP 926])="x",_xlfn.XLOOKUP(A42,Table1[Countermeasure],Table1[NCHRP 1033])="x"),"Documented","Tried"))))</f>
        <v>Proven</v>
      </c>
      <c r="M42" s="3" t="str" cm="1">
        <f t="array" ref="M42">_xlfn.IFS(N42=0,"Less than 1 year",N42=1,"1 - 2 years",N42&gt;1,"More than 2 years")</f>
        <v>More than 2 years</v>
      </c>
      <c r="N42">
        <v>3</v>
      </c>
    </row>
    <row r="43" spans="1:14" x14ac:dyDescent="0.35">
      <c r="A43" s="16" t="s">
        <v>39</v>
      </c>
      <c r="B43" s="24" t="s">
        <v>235</v>
      </c>
      <c r="C43" s="25">
        <v>0.9</v>
      </c>
      <c r="D43" s="26">
        <f t="shared" si="0"/>
        <v>9.9999999999999978E-2</v>
      </c>
      <c r="E43" s="25" t="s">
        <v>234</v>
      </c>
      <c r="F43" s="24"/>
      <c r="G43" s="25" t="s">
        <v>111</v>
      </c>
      <c r="H43" s="3"/>
      <c r="I43" s="3"/>
      <c r="J43" s="3"/>
      <c r="K43" s="3" t="s">
        <v>11</v>
      </c>
      <c r="L43" s="3" t="str">
        <f>IF(_xlfn.XLOOKUP(A43,Table1[Countermeasure],Table1[Proven Safety Countermeasure])="x","Proven",IF(NOT(ISERROR(SEARCH("CMF",G43))),"Documented",IF(NOT(ISERROR(SEARCH("Big Book",G43))),"Proven",IF(OR(_xlfn.XLOOKUP(A43,Table1[Countermeasure],Table1[NCHRP 926])="x",_xlfn.XLOOKUP(A43,Table1[Countermeasure],Table1[NCHRP 1033])="x"),"Documented","Tried"))))</f>
        <v>Proven</v>
      </c>
      <c r="M43" s="3" t="str" cm="1">
        <f t="array" ref="M43">_xlfn.IFS(N43=0,"Less than 1 year",N43=1,"1 - 2 years",N43&gt;1,"More than 2 years")</f>
        <v>Less than 1 year</v>
      </c>
      <c r="N43">
        <v>0</v>
      </c>
    </row>
    <row r="44" spans="1:14" ht="25" x14ac:dyDescent="0.35">
      <c r="A44" s="15" t="s">
        <v>38</v>
      </c>
      <c r="B44" s="24" t="s">
        <v>237</v>
      </c>
      <c r="C44" s="25">
        <v>0.33400000000000002</v>
      </c>
      <c r="D44" s="26">
        <f t="shared" si="0"/>
        <v>0.66599999999999993</v>
      </c>
      <c r="E44" s="25" t="s">
        <v>234</v>
      </c>
      <c r="F44" s="24"/>
      <c r="G44" s="25" t="s">
        <v>238</v>
      </c>
      <c r="H44" s="3"/>
      <c r="I44" s="3"/>
      <c r="J44" s="3"/>
      <c r="K44" s="3" t="s">
        <v>11</v>
      </c>
      <c r="L44" s="3" t="str">
        <f>IF(_xlfn.XLOOKUP(A44,Table1[Countermeasure],Table1[Proven Safety Countermeasure])="x","Proven",IF(NOT(ISERROR(SEARCH("CMF",G44))),"Documented",IF(NOT(ISERROR(SEARCH("Big Book",G44))),"Proven",IF(OR(_xlfn.XLOOKUP(A44,Table1[Countermeasure],Table1[NCHRP 926])="x",_xlfn.XLOOKUP(A44,Table1[Countermeasure],Table1[NCHRP 1033])="x"),"Documented","Tried"))))</f>
        <v>Documented</v>
      </c>
      <c r="M44" s="3" t="str" cm="1">
        <f t="array" ref="M44">_xlfn.IFS(N44=0,"Less than 1 year",N44=1,"1 - 2 years",N44&gt;1,"More than 2 years")</f>
        <v>1 - 2 years</v>
      </c>
      <c r="N44">
        <v>1</v>
      </c>
    </row>
    <row r="45" spans="1:14" x14ac:dyDescent="0.35">
      <c r="A45" s="16" t="s">
        <v>14</v>
      </c>
      <c r="B45" s="24" t="s">
        <v>236</v>
      </c>
      <c r="C45" s="25">
        <v>0.31900000000000001</v>
      </c>
      <c r="D45" s="26">
        <f t="shared" si="0"/>
        <v>0.68100000000000005</v>
      </c>
      <c r="E45" s="25" t="s">
        <v>102</v>
      </c>
      <c r="F45" s="24"/>
      <c r="G45" s="25" t="s">
        <v>256</v>
      </c>
      <c r="H45" s="3"/>
      <c r="I45" s="3"/>
      <c r="J45" s="3"/>
      <c r="K45" s="3" t="s">
        <v>11</v>
      </c>
      <c r="L45" s="3" t="str">
        <f>IF(_xlfn.XLOOKUP(A45,Table1[Countermeasure],Table1[Proven Safety Countermeasure])="x","Proven",IF(NOT(ISERROR(SEARCH("CMF",G45))),"Documented",IF(NOT(ISERROR(SEARCH("Big Book",G45))),"Proven",IF(OR(_xlfn.XLOOKUP(A45,Table1[Countermeasure],Table1[NCHRP 926])="x",_xlfn.XLOOKUP(A45,Table1[Countermeasure],Table1[NCHRP 1033])="x"),"Documented","Tried"))))</f>
        <v>Documented</v>
      </c>
      <c r="M45" s="3" t="str" cm="1">
        <f t="array" ref="M45">_xlfn.IFS(N45=0,"Less than 1 year",N45=1,"1 - 2 years",N45&gt;1,"More than 2 years")</f>
        <v>Less than 1 year</v>
      </c>
      <c r="N45">
        <v>0</v>
      </c>
    </row>
    <row r="46" spans="1:14" ht="37.5" x14ac:dyDescent="0.35">
      <c r="A46" s="15" t="s">
        <v>286</v>
      </c>
      <c r="B46" s="24" t="s">
        <v>288</v>
      </c>
      <c r="C46" s="25">
        <v>0.432</v>
      </c>
      <c r="D46" s="26">
        <v>0.56999999999999995</v>
      </c>
      <c r="E46" s="25" t="s">
        <v>143</v>
      </c>
      <c r="F46" s="24"/>
      <c r="G46" s="25" t="s">
        <v>289</v>
      </c>
      <c r="H46" s="3"/>
      <c r="I46" s="3"/>
      <c r="J46" s="3"/>
      <c r="K46" s="3" t="s">
        <v>10</v>
      </c>
      <c r="L46" s="3" t="str">
        <f>IF(_xlfn.XLOOKUP(A46,Table1[Countermeasure],Table1[Proven Safety Countermeasure])="x","Proven",IF(NOT(ISERROR(SEARCH("CMF",G46))),"Documented",IF(NOT(ISERROR(SEARCH("Big Book",G46))),"Proven",IF(OR(_xlfn.XLOOKUP(A46,Table1[Countermeasure],Table1[NCHRP 926])="x",_xlfn.XLOOKUP(A46,Table1[Countermeasure],Table1[NCHRP 1033])="x"),"Documented","Tried"))))</f>
        <v>Proven</v>
      </c>
      <c r="M46" s="3" t="str" cm="1">
        <f t="array" ref="M46">_xlfn.IFS(N46=0,"Less than 1 year",N46=1,"1 - 2 years",N46&gt;1,"More than 2 years")</f>
        <v>Less than 1 year</v>
      </c>
    </row>
    <row r="47" spans="1:14" ht="25" x14ac:dyDescent="0.35">
      <c r="A47" s="16" t="s">
        <v>287</v>
      </c>
      <c r="B47" s="24" t="s">
        <v>290</v>
      </c>
      <c r="C47" s="25">
        <v>0.3</v>
      </c>
      <c r="D47" s="26">
        <v>0.7</v>
      </c>
      <c r="E47" s="25" t="s">
        <v>143</v>
      </c>
      <c r="F47" s="24"/>
      <c r="G47" s="25" t="s">
        <v>291</v>
      </c>
      <c r="H47" s="3"/>
      <c r="I47" s="3"/>
      <c r="J47" s="3"/>
      <c r="K47" s="3" t="s">
        <v>11</v>
      </c>
      <c r="L47" s="3" t="str">
        <f>IF(_xlfn.XLOOKUP(A47,Table1[Countermeasure],Table1[Proven Safety Countermeasure])="x","Proven",IF(NOT(ISERROR(SEARCH("CMF",G47))),"Documented",IF(NOT(ISERROR(SEARCH("Big Book",G47))),"Proven",IF(OR(_xlfn.XLOOKUP(A47,Table1[Countermeasure],Table1[NCHRP 926])="x",_xlfn.XLOOKUP(A47,Table1[Countermeasure],Table1[NCHRP 1033])="x"),"Documented","Tried"))))</f>
        <v>Proven</v>
      </c>
      <c r="M47" s="3" t="str" cm="1">
        <f t="array" ref="M47">_xlfn.IFS(N47=0,"Less than 1 year",N47=1,"1 - 2 years",N47&gt;1,"More than 2 years")</f>
        <v>Less than 1 year</v>
      </c>
    </row>
    <row r="48" spans="1:14" x14ac:dyDescent="0.35">
      <c r="A48" s="15" t="s">
        <v>15</v>
      </c>
      <c r="B48" s="24" t="s">
        <v>15</v>
      </c>
      <c r="C48" s="25">
        <v>0.56000000000000005</v>
      </c>
      <c r="D48" s="26">
        <f t="shared" si="0"/>
        <v>0.43999999999999995</v>
      </c>
      <c r="E48" s="25" t="s">
        <v>102</v>
      </c>
      <c r="F48" s="24" t="s">
        <v>255</v>
      </c>
      <c r="G48" s="25" t="s">
        <v>239</v>
      </c>
      <c r="H48" s="3"/>
      <c r="I48" s="3"/>
      <c r="J48" s="3"/>
      <c r="K48" s="3" t="s">
        <v>10</v>
      </c>
      <c r="L48" s="3" t="str">
        <f>IF(_xlfn.XLOOKUP(A48,Table1[Countermeasure],Table1[Proven Safety Countermeasure])="x","Proven",IF(NOT(ISERROR(SEARCH("CMF",G48))),"Documented",IF(NOT(ISERROR(SEARCH("Big Book",G48))),"Proven",IF(OR(_xlfn.XLOOKUP(A48,Table1[Countermeasure],Table1[NCHRP 926])="x",_xlfn.XLOOKUP(A48,Table1[Countermeasure],Table1[NCHRP 1033])="x"),"Documented","Tried"))))</f>
        <v>Documented</v>
      </c>
      <c r="M48" s="3" t="str" cm="1">
        <f t="array" ref="M48">_xlfn.IFS(N48=0,"Less than 1 year",N48=1,"1 - 2 years",N48&gt;1,"More than 2 years")</f>
        <v>Less than 1 year</v>
      </c>
    </row>
    <row r="49" spans="1:14" x14ac:dyDescent="0.35">
      <c r="A49" s="16" t="s">
        <v>108</v>
      </c>
      <c r="B49" s="24" t="s">
        <v>245</v>
      </c>
      <c r="C49" s="25">
        <v>0.878</v>
      </c>
      <c r="D49" s="26">
        <f t="shared" si="0"/>
        <v>0.122</v>
      </c>
      <c r="E49" s="25" t="s">
        <v>228</v>
      </c>
      <c r="F49" s="24"/>
      <c r="G49" s="25" t="s">
        <v>246</v>
      </c>
      <c r="H49" s="3"/>
      <c r="I49" s="3"/>
      <c r="J49" s="3"/>
      <c r="K49" s="3" t="s">
        <v>11</v>
      </c>
      <c r="L49" s="3" t="str">
        <f>IF(_xlfn.XLOOKUP(A49,Table1[Countermeasure],Table1[Proven Safety Countermeasure])="x","Proven",IF(NOT(ISERROR(SEARCH("CMF",G49))),"Documented",IF(NOT(ISERROR(SEARCH("Big Book",G49))),"Proven",IF(OR(_xlfn.XLOOKUP(A49,Table1[Countermeasure],Table1[NCHRP 926])="x",_xlfn.XLOOKUP(A49,Table1[Countermeasure],Table1[NCHRP 1033])="x"),"Documented","Tried"))))</f>
        <v>Documented</v>
      </c>
      <c r="M49" s="3" t="str" cm="1">
        <f t="array" ref="M49">_xlfn.IFS(N49=0,"Less than 1 year",N49=1,"1 - 2 years",N49&gt;1,"More than 2 years")</f>
        <v>1 - 2 years</v>
      </c>
      <c r="N49">
        <v>1</v>
      </c>
    </row>
    <row r="50" spans="1:14" ht="25" x14ac:dyDescent="0.35">
      <c r="A50" s="15" t="s">
        <v>21</v>
      </c>
      <c r="B50" s="24" t="s">
        <v>242</v>
      </c>
      <c r="C50" s="25">
        <v>0.56399999999999995</v>
      </c>
      <c r="D50" s="26">
        <f t="shared" si="0"/>
        <v>0.43600000000000005</v>
      </c>
      <c r="E50" s="25" t="s">
        <v>170</v>
      </c>
      <c r="F50" s="24" t="s">
        <v>243</v>
      </c>
      <c r="G50" s="25" t="s">
        <v>244</v>
      </c>
      <c r="H50" s="3"/>
      <c r="I50" s="3"/>
      <c r="J50" s="3"/>
      <c r="K50" s="3" t="s">
        <v>11</v>
      </c>
      <c r="L50" s="3" t="str">
        <f>IF(_xlfn.XLOOKUP(A50,Table1[Countermeasure],Table1[Proven Safety Countermeasure])="x","Proven",IF(NOT(ISERROR(SEARCH("CMF",G50))),"Documented",IF(NOT(ISERROR(SEARCH("Big Book",G50))),"Proven",IF(OR(_xlfn.XLOOKUP(A50,Table1[Countermeasure],Table1[NCHRP 926])="x",_xlfn.XLOOKUP(A50,Table1[Countermeasure],Table1[NCHRP 1033])="x"),"Documented","Tried"))))</f>
        <v>Documented</v>
      </c>
      <c r="M50" s="3" t="str" cm="1">
        <f t="array" ref="M50">_xlfn.IFS(N50=0,"Less than 1 year",N50=1,"1 - 2 years",N50&gt;1,"More than 2 years")</f>
        <v>1 - 2 years</v>
      </c>
      <c r="N50">
        <v>1</v>
      </c>
    </row>
    <row r="51" spans="1:14" ht="37.5" x14ac:dyDescent="0.35">
      <c r="A51" s="16" t="s">
        <v>24</v>
      </c>
      <c r="B51" s="24" t="s">
        <v>233</v>
      </c>
      <c r="C51" s="25">
        <v>0.63500000000000001</v>
      </c>
      <c r="D51" s="26">
        <f t="shared" si="0"/>
        <v>0.36499999999999999</v>
      </c>
      <c r="E51" s="25" t="s">
        <v>234</v>
      </c>
      <c r="F51" s="24"/>
      <c r="G51" s="25" t="s">
        <v>232</v>
      </c>
      <c r="H51" s="3"/>
      <c r="I51" s="3"/>
      <c r="J51" s="3"/>
      <c r="K51" s="3" t="s">
        <v>2</v>
      </c>
      <c r="L51" s="3" t="str">
        <f>IF(_xlfn.XLOOKUP(A51,Table1[Countermeasure],Table1[Proven Safety Countermeasure])="x","Proven",IF(NOT(ISERROR(SEARCH("CMF",G51))),"Documented",IF(NOT(ISERROR(SEARCH("Big Book",G51))),"Proven",IF(OR(_xlfn.XLOOKUP(A51,Table1[Countermeasure],Table1[NCHRP 926])="x",_xlfn.XLOOKUP(A51,Table1[Countermeasure],Table1[NCHRP 1033])="x"),"Documented","Tried"))))</f>
        <v>Documented</v>
      </c>
      <c r="M51" s="3" t="str" cm="1">
        <f t="array" ref="M51">_xlfn.IFS(N51=0,"Less than 1 year",N51=1,"1 - 2 years",N51&gt;1,"More than 2 years")</f>
        <v>1 - 2 years</v>
      </c>
      <c r="N51">
        <v>1</v>
      </c>
    </row>
    <row r="52" spans="1:14" ht="25" x14ac:dyDescent="0.35">
      <c r="A52" s="15" t="s">
        <v>19</v>
      </c>
      <c r="B52" s="24" t="s">
        <v>230</v>
      </c>
      <c r="C52" s="25">
        <v>0.85</v>
      </c>
      <c r="D52" s="26">
        <f t="shared" si="0"/>
        <v>0.15000000000000002</v>
      </c>
      <c r="E52" s="25" t="s">
        <v>102</v>
      </c>
      <c r="F52" s="24"/>
      <c r="G52" s="25" t="s">
        <v>231</v>
      </c>
      <c r="H52" s="3"/>
      <c r="I52" s="3"/>
      <c r="J52" s="3"/>
      <c r="K52" s="3" t="s">
        <v>11</v>
      </c>
      <c r="L52" s="3" t="str">
        <f>IF(_xlfn.XLOOKUP(A52,Table1[Countermeasure],Table1[Proven Safety Countermeasure])="x","Proven",IF(NOT(ISERROR(SEARCH("CMF",G52))),"Documented",IF(NOT(ISERROR(SEARCH("Big Book",G52))),"Proven",IF(OR(_xlfn.XLOOKUP(A52,Table1[Countermeasure],Table1[NCHRP 926])="x",_xlfn.XLOOKUP(A52,Table1[Countermeasure],Table1[NCHRP 1033])="x"),"Documented","Tried"))))</f>
        <v>Proven</v>
      </c>
      <c r="M52" s="3" t="str" cm="1">
        <f t="array" ref="M52">_xlfn.IFS(N52=0,"Less than 1 year",N52=1,"1 - 2 years",N52&gt;1,"More than 2 years")</f>
        <v>Less than 1 year</v>
      </c>
      <c r="N52">
        <v>0</v>
      </c>
    </row>
    <row r="53" spans="1:14" x14ac:dyDescent="0.35">
      <c r="A53" s="16" t="s">
        <v>20</v>
      </c>
      <c r="B53" s="24" t="s">
        <v>240</v>
      </c>
      <c r="C53" s="25">
        <v>0.79200000000000004</v>
      </c>
      <c r="D53" s="26">
        <f t="shared" si="0"/>
        <v>0.20799999999999996</v>
      </c>
      <c r="E53" s="25" t="s">
        <v>228</v>
      </c>
      <c r="F53" s="24"/>
      <c r="G53" s="25" t="s">
        <v>241</v>
      </c>
      <c r="H53" s="3"/>
      <c r="I53" s="3"/>
      <c r="J53" s="3"/>
      <c r="K53" s="3" t="s">
        <v>11</v>
      </c>
      <c r="L53" s="3" t="str">
        <f>IF(_xlfn.XLOOKUP(A53,Table1[Countermeasure],Table1[Proven Safety Countermeasure])="x","Proven",IF(NOT(ISERROR(SEARCH("CMF",G53))),"Documented",IF(NOT(ISERROR(SEARCH("Big Book",G53))),"Proven",IF(OR(_xlfn.XLOOKUP(A53,Table1[Countermeasure],Table1[NCHRP 926])="x",_xlfn.XLOOKUP(A53,Table1[Countermeasure],Table1[NCHRP 1033])="x"),"Documented","Tried"))))</f>
        <v>Documented</v>
      </c>
      <c r="M53" s="3" t="str" cm="1">
        <f t="array" ref="M53">_xlfn.IFS(N53=0,"Less than 1 year",N53=1,"1 - 2 years",N53&gt;1,"More than 2 years")</f>
        <v>1 - 2 years</v>
      </c>
      <c r="N53">
        <v>1</v>
      </c>
    </row>
    <row r="54" spans="1:14" ht="37.5" x14ac:dyDescent="0.35">
      <c r="A54" s="15" t="s">
        <v>71</v>
      </c>
      <c r="B54" s="24" t="s">
        <v>227</v>
      </c>
      <c r="C54" s="25">
        <v>0.96</v>
      </c>
      <c r="D54" s="26">
        <f t="shared" si="0"/>
        <v>4.0000000000000036E-2</v>
      </c>
      <c r="E54" s="25" t="s">
        <v>228</v>
      </c>
      <c r="F54" s="24"/>
      <c r="G54" s="25" t="s">
        <v>229</v>
      </c>
      <c r="H54" s="3"/>
      <c r="I54" s="3"/>
      <c r="J54" s="3"/>
      <c r="K54" s="3" t="s">
        <v>11</v>
      </c>
      <c r="L54" s="3" t="str">
        <f>IF(_xlfn.XLOOKUP(A54,Table1[Countermeasure],Table1[Proven Safety Countermeasure])="x","Proven",IF(NOT(ISERROR(SEARCH("CMF",G54))),"Documented",IF(NOT(ISERROR(SEARCH("Big Book",G54))),"Proven",IF(OR(_xlfn.XLOOKUP(A54,Table1[Countermeasure],Table1[NCHRP 926])="x",_xlfn.XLOOKUP(A54,Table1[Countermeasure],Table1[NCHRP 1033])="x"),"Documented","Tried"))))</f>
        <v>Documented</v>
      </c>
      <c r="M54" s="3" t="str" cm="1">
        <f t="array" ref="M54">_xlfn.IFS(N54=0,"Less than 1 year",N54=1,"1 - 2 years",N54&gt;1,"More than 2 years")</f>
        <v>Less than 1 year</v>
      </c>
      <c r="N54">
        <v>0</v>
      </c>
    </row>
    <row r="55" spans="1:14" ht="182" x14ac:dyDescent="0.35">
      <c r="A55" s="16" t="s">
        <v>70</v>
      </c>
      <c r="B55" s="24" t="s">
        <v>225</v>
      </c>
      <c r="C55" s="25">
        <v>0.83299999999999996</v>
      </c>
      <c r="D55" s="26">
        <f t="shared" si="0"/>
        <v>0.16700000000000004</v>
      </c>
      <c r="E55" s="25" t="s">
        <v>170</v>
      </c>
      <c r="F55" s="24" t="s">
        <v>255</v>
      </c>
      <c r="G55" s="25" t="s">
        <v>224</v>
      </c>
      <c r="H55" s="29" t="s">
        <v>226</v>
      </c>
      <c r="I55" s="29"/>
      <c r="J55" s="29"/>
      <c r="K55" s="3" t="s">
        <v>11</v>
      </c>
      <c r="L55" s="3" t="str">
        <f>IF(_xlfn.XLOOKUP(A55,Table1[Countermeasure],Table1[Proven Safety Countermeasure])="x","Proven",IF(NOT(ISERROR(SEARCH("CMF",G55))),"Documented",IF(NOT(ISERROR(SEARCH("Big Book",G55))),"Proven",IF(OR(_xlfn.XLOOKUP(A55,Table1[Countermeasure],Table1[NCHRP 926])="x",_xlfn.XLOOKUP(A55,Table1[Countermeasure],Table1[NCHRP 1033])="x"),"Documented","Tried"))))</f>
        <v>Proven</v>
      </c>
      <c r="M55" s="3" t="str" cm="1">
        <f t="array" ref="M55">_xlfn.IFS(N55=0,"Less than 1 year",N55=1,"1 - 2 years",N55&gt;1,"More than 2 years")</f>
        <v>Less than 1 year</v>
      </c>
      <c r="N55">
        <v>0</v>
      </c>
    </row>
    <row r="56" spans="1:14" ht="43.5" x14ac:dyDescent="0.35">
      <c r="A56" s="15" t="s">
        <v>25</v>
      </c>
      <c r="B56" s="24" t="s">
        <v>74</v>
      </c>
      <c r="C56" s="25">
        <v>0.68</v>
      </c>
      <c r="D56" s="26">
        <f t="shared" si="0"/>
        <v>0.31999999999999995</v>
      </c>
      <c r="E56" s="25" t="s">
        <v>102</v>
      </c>
      <c r="F56" s="24"/>
      <c r="G56" s="25" t="s">
        <v>222</v>
      </c>
      <c r="H56" s="28" t="s">
        <v>223</v>
      </c>
      <c r="I56" s="28"/>
      <c r="J56" s="28"/>
      <c r="K56" s="3" t="s">
        <v>2</v>
      </c>
      <c r="L56" s="3" t="str">
        <f>IF(_xlfn.XLOOKUP(A56,Table1[Countermeasure],Table1[Proven Safety Countermeasure])="x","Proven",IF(NOT(ISERROR(SEARCH("CMF",G56))),"Documented",IF(NOT(ISERROR(SEARCH("Big Book",G56))),"Proven",IF(OR(_xlfn.XLOOKUP(A56,Table1[Countermeasure],Table1[NCHRP 926])="x",_xlfn.XLOOKUP(A56,Table1[Countermeasure],Table1[NCHRP 1033])="x"),"Documented","Tried"))))</f>
        <v>Documented</v>
      </c>
      <c r="M56" s="3" t="str" cm="1">
        <f t="array" ref="M56">_xlfn.IFS(N56=0,"Less than 1 year",N56=1,"1 - 2 years",N56&gt;1,"More than 2 years")</f>
        <v>1 - 2 years</v>
      </c>
      <c r="N56">
        <v>1</v>
      </c>
    </row>
    <row r="57" spans="1:14" x14ac:dyDescent="0.35">
      <c r="A57" s="16" t="s">
        <v>73</v>
      </c>
      <c r="B57" s="24" t="s">
        <v>73</v>
      </c>
      <c r="C57" s="25">
        <v>0.53</v>
      </c>
      <c r="D57" s="26">
        <f t="shared" si="0"/>
        <v>0.47</v>
      </c>
      <c r="E57" s="25" t="s">
        <v>110</v>
      </c>
      <c r="F57" s="24"/>
      <c r="G57" s="25" t="s">
        <v>160</v>
      </c>
      <c r="H57" s="3"/>
      <c r="I57" s="3"/>
      <c r="J57" s="3"/>
      <c r="K57" s="3" t="s">
        <v>11</v>
      </c>
      <c r="L57" s="3" t="str">
        <f>IF(_xlfn.XLOOKUP(A57,Table1[Countermeasure],Table1[Proven Safety Countermeasure])="x","Proven",IF(NOT(ISERROR(SEARCH("CMF",G57))),"Documented",IF(NOT(ISERROR(SEARCH("Big Book",G57))),"Proven",IF(OR(_xlfn.XLOOKUP(A57,Table1[Countermeasure],Table1[NCHRP 926])="x",_xlfn.XLOOKUP(A57,Table1[Countermeasure],Table1[NCHRP 1033])="x"),"Documented","Tried"))))</f>
        <v>Documented</v>
      </c>
      <c r="M57" s="3" t="str" cm="1">
        <f t="array" ref="M57">_xlfn.IFS(N57=0,"Less than 1 year",N57=1,"1 - 2 years",N57&gt;1,"More than 2 years")</f>
        <v>1 - 2 years</v>
      </c>
      <c r="N57">
        <v>1</v>
      </c>
    </row>
    <row r="58" spans="1:14" ht="25" x14ac:dyDescent="0.35">
      <c r="A58" s="15" t="s">
        <v>52</v>
      </c>
      <c r="B58" s="24" t="s">
        <v>159</v>
      </c>
      <c r="C58" s="25">
        <v>0.51500000000000001</v>
      </c>
      <c r="D58" s="26">
        <f t="shared" si="0"/>
        <v>0.48499999999999999</v>
      </c>
      <c r="E58" s="25" t="s">
        <v>110</v>
      </c>
      <c r="F58" s="24" t="s">
        <v>157</v>
      </c>
      <c r="G58" s="25" t="s">
        <v>158</v>
      </c>
      <c r="H58" s="3"/>
      <c r="I58" s="3"/>
      <c r="J58" s="3"/>
      <c r="K58" s="3" t="s">
        <v>10</v>
      </c>
      <c r="L58" s="3" t="str">
        <f>IF(_xlfn.XLOOKUP(A58,Table1[Countermeasure],Table1[Proven Safety Countermeasure])="x","Proven",IF(NOT(ISERROR(SEARCH("CMF",G58))),"Documented",IF(NOT(ISERROR(SEARCH("Big Book",G58))),"Proven",IF(OR(_xlfn.XLOOKUP(A58,Table1[Countermeasure],Table1[NCHRP 926])="x",_xlfn.XLOOKUP(A58,Table1[Countermeasure],Table1[NCHRP 1033])="x"),"Documented","Tried"))))</f>
        <v>Documented</v>
      </c>
      <c r="M58" s="3" t="str" cm="1">
        <f t="array" ref="M58">_xlfn.IFS(N58=0,"Less than 1 year",N58=1,"1 - 2 years",N58&gt;1,"More than 2 years")</f>
        <v>Less than 1 year</v>
      </c>
      <c r="N58">
        <v>0</v>
      </c>
    </row>
    <row r="59" spans="1:14" x14ac:dyDescent="0.35">
      <c r="A59" s="16" t="s">
        <v>98</v>
      </c>
      <c r="B59" s="24" t="s">
        <v>151</v>
      </c>
      <c r="C59" s="25">
        <v>0.63</v>
      </c>
      <c r="D59" s="26">
        <f t="shared" si="0"/>
        <v>0.37</v>
      </c>
      <c r="E59" s="25" t="s">
        <v>110</v>
      </c>
      <c r="F59" s="24"/>
      <c r="G59" s="25" t="s">
        <v>155</v>
      </c>
      <c r="H59" s="3"/>
      <c r="I59" s="3"/>
      <c r="J59" s="3"/>
      <c r="K59" s="3" t="s">
        <v>2</v>
      </c>
      <c r="L59" s="3" t="str">
        <f>IF(_xlfn.XLOOKUP(A59,Table1[Countermeasure],Table1[Proven Safety Countermeasure])="x","Proven",IF(NOT(ISERROR(SEARCH("CMF",G59))),"Documented",IF(NOT(ISERROR(SEARCH("Big Book",G59))),"Proven",IF(OR(_xlfn.XLOOKUP(A59,Table1[Countermeasure],Table1[NCHRP 926])="x",_xlfn.XLOOKUP(A59,Table1[Countermeasure],Table1[NCHRP 1033])="x"),"Documented","Tried"))))</f>
        <v>Proven</v>
      </c>
      <c r="M59" s="3" t="str" cm="1">
        <f t="array" ref="M59">_xlfn.IFS(N59=0,"Less than 1 year",N59=1,"1 - 2 years",N59&gt;1,"More than 2 years")</f>
        <v>More than 2 years</v>
      </c>
      <c r="N59">
        <v>2</v>
      </c>
    </row>
    <row r="60" spans="1:14" x14ac:dyDescent="0.35">
      <c r="A60" s="15" t="s">
        <v>99</v>
      </c>
      <c r="B60" s="24" t="s">
        <v>152</v>
      </c>
      <c r="C60" s="25">
        <v>0.88</v>
      </c>
      <c r="D60" s="26">
        <f t="shared" si="0"/>
        <v>0.12</v>
      </c>
      <c r="E60" s="25" t="s">
        <v>153</v>
      </c>
      <c r="F60" s="24" t="s">
        <v>156</v>
      </c>
      <c r="G60" s="25" t="s">
        <v>154</v>
      </c>
      <c r="H60" s="3"/>
      <c r="I60" s="3"/>
      <c r="J60" s="3"/>
      <c r="K60" s="3" t="s">
        <v>11</v>
      </c>
      <c r="L60" s="3" t="str">
        <f>IF(_xlfn.XLOOKUP(A60,Table1[Countermeasure],Table1[Proven Safety Countermeasure])="x","Proven",IF(NOT(ISERROR(SEARCH("CMF",G60))),"Documented",IF(NOT(ISERROR(SEARCH("Big Book",G60))),"Proven",IF(OR(_xlfn.XLOOKUP(A60,Table1[Countermeasure],Table1[NCHRP 926])="x",_xlfn.XLOOKUP(A60,Table1[Countermeasure],Table1[NCHRP 1033])="x"),"Documented","Tried"))))</f>
        <v>Proven</v>
      </c>
      <c r="M60" s="3" t="str" cm="1">
        <f t="array" ref="M60">_xlfn.IFS(N60=0,"Less than 1 year",N60=1,"1 - 2 years",N60&gt;1,"More than 2 years")</f>
        <v>1 - 2 years</v>
      </c>
      <c r="N60">
        <v>1</v>
      </c>
    </row>
    <row r="61" spans="1:14" x14ac:dyDescent="0.35">
      <c r="A61" s="15" t="s">
        <v>257</v>
      </c>
      <c r="B61" s="24" t="s">
        <v>258</v>
      </c>
      <c r="C61" s="25">
        <v>0.7</v>
      </c>
      <c r="D61" s="26">
        <f t="shared" si="0"/>
        <v>0.30000000000000004</v>
      </c>
      <c r="E61" s="25" t="s">
        <v>102</v>
      </c>
      <c r="F61" s="24" t="s">
        <v>156</v>
      </c>
      <c r="G61" s="25" t="s">
        <v>111</v>
      </c>
      <c r="H61" s="3"/>
      <c r="I61" s="3"/>
      <c r="J61" s="3"/>
      <c r="K61" s="3" t="s">
        <v>2</v>
      </c>
      <c r="L61" s="3" t="str">
        <f>IF(_xlfn.XLOOKUP(A61,Table1[Countermeasure],Table1[Proven Safety Countermeasure])="x","Proven",IF(NOT(ISERROR(SEARCH("CMF",G61))),"Documented",IF(NOT(ISERROR(SEARCH("Big Book",G61))),"Proven",IF(OR(_xlfn.XLOOKUP(A61,Table1[Countermeasure],Table1[NCHRP 926])="x",_xlfn.XLOOKUP(A61,Table1[Countermeasure],Table1[NCHRP 1033])="x"),"Documented","Tried"))))</f>
        <v>Proven</v>
      </c>
      <c r="M61" s="3" t="str" cm="1">
        <f t="array" ref="M61">_xlfn.IFS(N61=0,"Less than 1 year",N61=1,"1 - 2 years",N61&gt;1,"More than 2 years")</f>
        <v>More than 2 years</v>
      </c>
      <c r="N61">
        <v>2</v>
      </c>
    </row>
    <row r="62" spans="1:14" ht="25" x14ac:dyDescent="0.35">
      <c r="A62" s="16" t="s">
        <v>130</v>
      </c>
      <c r="B62" s="24" t="s">
        <v>131</v>
      </c>
      <c r="C62" s="25">
        <v>0.64</v>
      </c>
      <c r="D62" s="26">
        <f t="shared" si="0"/>
        <v>0.36</v>
      </c>
      <c r="E62" s="25" t="s">
        <v>133</v>
      </c>
      <c r="F62" s="24"/>
      <c r="G62" s="25" t="s">
        <v>132</v>
      </c>
      <c r="H62" s="3"/>
      <c r="I62" s="3"/>
      <c r="J62" s="3"/>
      <c r="K62" s="3" t="s">
        <v>11</v>
      </c>
      <c r="L62" s="3" t="str">
        <f>IF(_xlfn.XLOOKUP(A62,Table1[Countermeasure],Table1[Proven Safety Countermeasure])="x","Proven",IF(NOT(ISERROR(SEARCH("CMF",G62))),"Documented",IF(NOT(ISERROR(SEARCH("Big Book",G62))),"Proven",IF(OR(_xlfn.XLOOKUP(A62,Table1[Countermeasure],Table1[NCHRP 926])="x",_xlfn.XLOOKUP(A62,Table1[Countermeasure],Table1[NCHRP 1033])="x"),"Documented","Tried"))))</f>
        <v>Proven</v>
      </c>
      <c r="M62" s="3" t="str" cm="1">
        <f t="array" ref="M62">_xlfn.IFS(N62=0,"Less than 1 year",N62=1,"1 - 2 years",N62&gt;1,"More than 2 years")</f>
        <v>Less than 1 year</v>
      </c>
      <c r="N62">
        <v>0</v>
      </c>
    </row>
    <row r="63" spans="1:14" ht="25" x14ac:dyDescent="0.35">
      <c r="A63" s="16" t="s">
        <v>268</v>
      </c>
      <c r="B63" s="16" t="s">
        <v>268</v>
      </c>
      <c r="I63">
        <v>3</v>
      </c>
      <c r="J63">
        <v>3</v>
      </c>
      <c r="K63" s="3" t="s">
        <v>2</v>
      </c>
      <c r="L63" t="s">
        <v>250</v>
      </c>
      <c r="M63" s="3" t="str" cm="1">
        <f t="array" ref="M63">_xlfn.IFS(N63=0,"Less than 1 year",N63=1,"1 - 2 years",N63&gt;1,"More than 2 years")</f>
        <v>1 - 2 years</v>
      </c>
      <c r="N63">
        <v>1</v>
      </c>
    </row>
    <row r="64" spans="1:14" x14ac:dyDescent="0.35">
      <c r="A64" s="15" t="s">
        <v>269</v>
      </c>
      <c r="B64" s="15" t="s">
        <v>269</v>
      </c>
      <c r="I64">
        <v>4</v>
      </c>
      <c r="J64">
        <v>1</v>
      </c>
      <c r="K64" s="3" t="s">
        <v>10</v>
      </c>
      <c r="L64" t="s">
        <v>252</v>
      </c>
      <c r="M64" s="3" t="str" cm="1">
        <f t="array" ref="M64">_xlfn.IFS(N64=0,"Less than 1 year",N64=1,"1 - 2 years",N64&gt;1,"More than 2 years")</f>
        <v>1 - 2 years</v>
      </c>
      <c r="N64">
        <v>1</v>
      </c>
    </row>
    <row r="65" spans="1:14" x14ac:dyDescent="0.35">
      <c r="A65" s="48" t="s">
        <v>272</v>
      </c>
      <c r="B65" s="48" t="s">
        <v>272</v>
      </c>
      <c r="I65">
        <v>4</v>
      </c>
      <c r="J65">
        <v>3</v>
      </c>
      <c r="K65" s="3" t="s">
        <v>10</v>
      </c>
      <c r="L65" t="s">
        <v>252</v>
      </c>
      <c r="M65" s="3" t="str" cm="1">
        <f t="array" ref="M65">_xlfn.IFS(N65=0,"Less than 1 year",N65=1,"1 - 2 years",N65&gt;1,"More than 2 years")</f>
        <v>Less than 1 year</v>
      </c>
      <c r="N65">
        <v>0</v>
      </c>
    </row>
    <row r="66" spans="1:14" x14ac:dyDescent="0.35">
      <c r="A66" s="49" t="s">
        <v>273</v>
      </c>
      <c r="B66" s="49" t="s">
        <v>273</v>
      </c>
      <c r="I66">
        <v>3</v>
      </c>
      <c r="J66" t="s">
        <v>165</v>
      </c>
      <c r="K66" s="3" t="s">
        <v>2</v>
      </c>
      <c r="L66" t="s">
        <v>250</v>
      </c>
      <c r="M66" s="3" t="str" cm="1">
        <f t="array" ref="M66">_xlfn.IFS(N66=0,"Less than 1 year",N66=1,"1 - 2 years",N66&gt;1,"More than 2 years")</f>
        <v>More than 2 years</v>
      </c>
      <c r="N66">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DC9F4-5FF7-48CC-A620-4F6461CB24BC}">
  <dimension ref="A1:I6"/>
  <sheetViews>
    <sheetView workbookViewId="0">
      <selection activeCell="H6" sqref="H6"/>
    </sheetView>
  </sheetViews>
  <sheetFormatPr defaultRowHeight="14.5" x14ac:dyDescent="0.35"/>
  <cols>
    <col min="1" max="1" width="20.453125" bestFit="1" customWidth="1"/>
    <col min="8" max="8" width="20.453125" bestFit="1" customWidth="1"/>
    <col min="9" max="9" width="5.453125" bestFit="1" customWidth="1"/>
    <col min="10" max="10" width="11.54296875" bestFit="1" customWidth="1"/>
  </cols>
  <sheetData>
    <row r="1" spans="1:9" ht="29" x14ac:dyDescent="0.35">
      <c r="A1" t="s">
        <v>47</v>
      </c>
      <c r="B1" s="8" t="s">
        <v>53</v>
      </c>
      <c r="C1" t="s">
        <v>185</v>
      </c>
      <c r="E1" s="9" t="s">
        <v>220</v>
      </c>
      <c r="F1" t="s">
        <v>191</v>
      </c>
      <c r="H1" t="s">
        <v>263</v>
      </c>
      <c r="I1" s="8"/>
    </row>
    <row r="2" spans="1:9" x14ac:dyDescent="0.35">
      <c r="A2" t="s">
        <v>3</v>
      </c>
      <c r="B2" s="8">
        <v>1</v>
      </c>
      <c r="C2" t="s">
        <v>186</v>
      </c>
      <c r="E2" t="s">
        <v>215</v>
      </c>
      <c r="F2" t="s">
        <v>11</v>
      </c>
      <c r="H2" t="s">
        <v>264</v>
      </c>
      <c r="I2" s="8"/>
    </row>
    <row r="3" spans="1:9" x14ac:dyDescent="0.35">
      <c r="A3" t="s">
        <v>43</v>
      </c>
      <c r="B3" s="8">
        <v>2</v>
      </c>
      <c r="C3" t="s">
        <v>188</v>
      </c>
      <c r="E3" t="s">
        <v>216</v>
      </c>
      <c r="F3" t="s">
        <v>11</v>
      </c>
      <c r="H3" t="s">
        <v>265</v>
      </c>
      <c r="I3" s="8"/>
    </row>
    <row r="4" spans="1:9" x14ac:dyDescent="0.35">
      <c r="A4" t="s">
        <v>44</v>
      </c>
      <c r="B4" s="8">
        <v>3</v>
      </c>
      <c r="C4" t="s">
        <v>187</v>
      </c>
      <c r="E4" t="s">
        <v>217</v>
      </c>
      <c r="F4" t="s">
        <v>2</v>
      </c>
      <c r="H4" t="s">
        <v>266</v>
      </c>
      <c r="I4" s="8"/>
    </row>
    <row r="5" spans="1:9" x14ac:dyDescent="0.35">
      <c r="A5" t="s">
        <v>45</v>
      </c>
      <c r="B5" s="8">
        <v>4</v>
      </c>
      <c r="C5" t="s">
        <v>189</v>
      </c>
      <c r="E5" t="s">
        <v>218</v>
      </c>
      <c r="F5" t="s">
        <v>221</v>
      </c>
      <c r="H5" t="s">
        <v>267</v>
      </c>
      <c r="I5" s="8"/>
    </row>
    <row r="6" spans="1:9" x14ac:dyDescent="0.35">
      <c r="A6" t="s">
        <v>46</v>
      </c>
      <c r="B6" s="8">
        <v>5</v>
      </c>
      <c r="C6" t="s">
        <v>190</v>
      </c>
      <c r="E6" t="s">
        <v>219</v>
      </c>
      <c r="F6" t="s">
        <v>221</v>
      </c>
      <c r="H6" t="s">
        <v>262</v>
      </c>
      <c r="I6"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1E1C44A6188408434DBA3DF8D327D" ma:contentTypeVersion="19" ma:contentTypeDescription="Create a new document." ma:contentTypeScope="" ma:versionID="d316ed26951f959be8908a2161875be1">
  <xsd:schema xmlns:xsd="http://www.w3.org/2001/XMLSchema" xmlns:xs="http://www.w3.org/2001/XMLSchema" xmlns:p="http://schemas.microsoft.com/office/2006/metadata/properties" xmlns:ns2="8e55e918-e8de-4528-a6ef-314052a61119" xmlns:ns3="2ce331a5-c774-4e17-9fd8-005c63b67953" targetNamespace="http://schemas.microsoft.com/office/2006/metadata/properties" ma:root="true" ma:fieldsID="a0b6e2fd8013cc009ae812cc5165d23b" ns2:_="" ns3:_="">
    <xsd:import namespace="8e55e918-e8de-4528-a6ef-314052a61119"/>
    <xsd:import namespace="2ce331a5-c774-4e17-9fd8-005c63b6795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5e918-e8de-4528-a6ef-314052a611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e331a5-c774-4e17-9fd8-005c63b6795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26602bc-1e04-405c-b94c-3ee1ebe821ba}" ma:internalName="TaxCatchAll" ma:showField="CatchAllData" ma:web="2ce331a5-c774-4e17-9fd8-005c63b67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e55e918-e8de-4528-a6ef-314052a61119">
      <Terms xmlns="http://schemas.microsoft.com/office/infopath/2007/PartnerControls"/>
    </lcf76f155ced4ddcb4097134ff3c332f>
    <TaxCatchAll xmlns="2ce331a5-c774-4e17-9fd8-005c63b67953" xsi:nil="true"/>
  </documentManagement>
</p:properties>
</file>

<file path=customXml/itemProps1.xml><?xml version="1.0" encoding="utf-8"?>
<ds:datastoreItem xmlns:ds="http://schemas.openxmlformats.org/officeDocument/2006/customXml" ds:itemID="{2B7C527C-D2D5-41D0-846F-7EBDC9717D94}"/>
</file>

<file path=customXml/itemProps2.xml><?xml version="1.0" encoding="utf-8"?>
<ds:datastoreItem xmlns:ds="http://schemas.openxmlformats.org/officeDocument/2006/customXml" ds:itemID="{D9E3B46A-0AD9-4AD9-BA10-42E707AE9B51}"/>
</file>

<file path=customXml/itemProps3.xml><?xml version="1.0" encoding="utf-8"?>
<ds:datastoreItem xmlns:ds="http://schemas.openxmlformats.org/officeDocument/2006/customXml" ds:itemID="{0B6B40F5-3576-4ACC-A0E7-BE9065EBD1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Overall Table</vt:lpstr>
      <vt:lpstr>CM attributes, relevance</vt:lpstr>
      <vt:lpstr>CMF source, cost, effectiveness</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 Hodges</dc:creator>
  <cp:lastModifiedBy>Mikaela Ziegler</cp:lastModifiedBy>
  <dcterms:created xsi:type="dcterms:W3CDTF">2024-07-29T14:55:57Z</dcterms:created>
  <dcterms:modified xsi:type="dcterms:W3CDTF">2024-12-30T16:27:49Z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0x0101009CB1E1C44A6188408434DBA3DF8D327D</vt:lpwstr>
  </property>
</Properties>
</file>