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TS\Working\Planning\Transit\Transit - Regional Route Performance Analysis\2025\"/>
    </mc:Choice>
  </mc:AlternateContent>
  <xr:revisionPtr revIDLastSave="0" documentId="13_ncr:1_{6DCECE34-E62B-44C2-8D80-4BA1D2F7FC22}" xr6:coauthVersionLast="47" xr6:coauthVersionMax="47" xr10:uidLastSave="{00000000-0000-0000-0000-000000000000}"/>
  <bookViews>
    <workbookView xWindow="-120" yWindow="-120" windowWidth="29040" windowHeight="15720" tabRatio="834" xr2:uid="{53FA297B-91B6-4D37-AA2E-01090386FE5B}"/>
  </bookViews>
  <sheets>
    <sheet name="Table 1 Commuter &amp; Express Bus" sheetId="4" r:id="rId1"/>
    <sheet name="Table 2 Core Local Bus" sheetId="6" r:id="rId2"/>
    <sheet name="Table 3 Supporting Local Bus" sheetId="7" r:id="rId3"/>
    <sheet name="Table 4 Suburban Local Bus" sheetId="8" r:id="rId4"/>
    <sheet name="Table 5 Arterial BRT" sheetId="9" r:id="rId5"/>
    <sheet name="Table 6 Highway BRT" sheetId="10" r:id="rId6"/>
    <sheet name="Table 7 Dedicated BRT" sheetId="21" r:id="rId7"/>
    <sheet name="Table 8 LRT" sheetId="11" r:id="rId8"/>
    <sheet name="Table 9 Commuter Rail" sheetId="12" r:id="rId9"/>
    <sheet name="Table 10 Microtransit" sheetId="13" r:id="rId10"/>
    <sheet name="Table 11 Dial-a-Ride" sheetId="14" r:id="rId11"/>
    <sheet name="Table 12 Vanpool" sheetId="15" r:id="rId12"/>
    <sheet name="All Routes" sheetId="1" r:id="rId13"/>
  </sheets>
  <definedNames>
    <definedName name="_xlnm._FilterDatabase" localSheetId="12" hidden="1">'All Routes'!$A$2:$N$280</definedName>
    <definedName name="_xlnm._FilterDatabase" localSheetId="0" hidden="1">'Table 1 Commuter &amp; Express Bus'!$A$3:$P$61</definedName>
    <definedName name="_xlnm._FilterDatabase" localSheetId="9" hidden="1">'Table 10 Microtransit'!$A$2:$P$34</definedName>
    <definedName name="_xlnm._FilterDatabase" localSheetId="1" hidden="1">'Table 2 Core Local Bus'!$A$2:$P$78</definedName>
    <definedName name="_xlnm._FilterDatabase" localSheetId="2" hidden="1">'Table 3 Supporting Local Bus'!$A$2:$P$45</definedName>
    <definedName name="_xlnm._FilterDatabase" localSheetId="3" hidden="1">'Table 4 Suburban Local Bus'!$A$2:$P$109</definedName>
    <definedName name="_xlnm._FilterDatabase" localSheetId="4" hidden="1">'Table 5 Arterial BRT'!$A$2:$O$20</definedName>
    <definedName name="_xlnm._FilterDatabase" localSheetId="5" hidden="1">'Table 6 Highway BRT'!$A$2:$P$8</definedName>
    <definedName name="_xlnm._FilterDatabase" localSheetId="6" hidden="1">'Table 7 Dedicated BRT'!$A$2:$P$9</definedName>
    <definedName name="_xlnm._FilterDatabase" localSheetId="7" hidden="1">'Table 8 LRT'!$A$2:$P$8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7" i="1" l="1"/>
  <c r="K297" i="1" s="1"/>
  <c r="L297" i="1"/>
  <c r="M297" i="1"/>
  <c r="L10" i="12"/>
  <c r="H10" i="12"/>
  <c r="N5" i="12"/>
  <c r="J5" i="12"/>
  <c r="K5" i="12"/>
  <c r="M5" i="12"/>
  <c r="F12" i="12"/>
  <c r="F11" i="12"/>
  <c r="F10" i="12"/>
  <c r="E39" i="13"/>
  <c r="E38" i="13"/>
  <c r="E37" i="13"/>
  <c r="E57" i="7"/>
  <c r="E56" i="7"/>
  <c r="E55" i="7"/>
  <c r="E51" i="7"/>
  <c r="E50" i="7"/>
  <c r="E49" i="7"/>
  <c r="E65" i="4"/>
  <c r="E90" i="6"/>
  <c r="E89" i="6"/>
  <c r="E88" i="6"/>
  <c r="E84" i="6"/>
  <c r="E83" i="6"/>
  <c r="E82" i="6"/>
  <c r="E113" i="8"/>
  <c r="L21" i="14"/>
  <c r="L18" i="14"/>
  <c r="L14" i="14"/>
  <c r="L12" i="14"/>
  <c r="L11" i="14"/>
  <c r="H11" i="14"/>
  <c r="L3" i="14" s="1"/>
  <c r="F13" i="14"/>
  <c r="F12" i="14"/>
  <c r="F11" i="14"/>
  <c r="L13" i="14"/>
  <c r="H13" i="14"/>
  <c r="H12" i="14"/>
  <c r="H18" i="14"/>
  <c r="E24" i="9"/>
  <c r="E115" i="8"/>
  <c r="E114" i="8"/>
  <c r="L5" i="1"/>
  <c r="M6" i="1"/>
  <c r="L6" i="1"/>
  <c r="J6" i="1"/>
  <c r="K6" i="1" s="1"/>
  <c r="M341" i="1"/>
  <c r="L341" i="1"/>
  <c r="J341" i="1"/>
  <c r="K341" i="1" s="1"/>
  <c r="M340" i="1"/>
  <c r="L340" i="1"/>
  <c r="J340" i="1"/>
  <c r="K340" i="1" s="1"/>
  <c r="M339" i="1"/>
  <c r="L339" i="1"/>
  <c r="J339" i="1"/>
  <c r="K339" i="1" s="1"/>
  <c r="M338" i="1"/>
  <c r="L338" i="1"/>
  <c r="J338" i="1"/>
  <c r="K338" i="1" s="1"/>
  <c r="M337" i="1"/>
  <c r="L337" i="1"/>
  <c r="J337" i="1"/>
  <c r="K337" i="1" s="1"/>
  <c r="M336" i="1"/>
  <c r="L336" i="1"/>
  <c r="J336" i="1"/>
  <c r="K336" i="1" s="1"/>
  <c r="M335" i="1"/>
  <c r="L335" i="1"/>
  <c r="J335" i="1"/>
  <c r="K335" i="1" s="1"/>
  <c r="M334" i="1"/>
  <c r="L334" i="1"/>
  <c r="J334" i="1"/>
  <c r="K334" i="1" s="1"/>
  <c r="M333" i="1"/>
  <c r="L333" i="1"/>
  <c r="J333" i="1"/>
  <c r="K333" i="1" s="1"/>
  <c r="M332" i="1"/>
  <c r="L332" i="1"/>
  <c r="J332" i="1"/>
  <c r="K332" i="1" s="1"/>
  <c r="M331" i="1"/>
  <c r="L331" i="1"/>
  <c r="J331" i="1"/>
  <c r="K331" i="1" s="1"/>
  <c r="M330" i="1"/>
  <c r="L330" i="1"/>
  <c r="J330" i="1"/>
  <c r="K330" i="1" s="1"/>
  <c r="M329" i="1"/>
  <c r="L329" i="1"/>
  <c r="J329" i="1"/>
  <c r="K329" i="1" s="1"/>
  <c r="M328" i="1"/>
  <c r="L328" i="1"/>
  <c r="J328" i="1"/>
  <c r="K328" i="1" s="1"/>
  <c r="M327" i="1"/>
  <c r="L327" i="1"/>
  <c r="J327" i="1"/>
  <c r="K327" i="1" s="1"/>
  <c r="M326" i="1"/>
  <c r="L326" i="1"/>
  <c r="J326" i="1"/>
  <c r="K326" i="1" s="1"/>
  <c r="M325" i="1"/>
  <c r="L325" i="1"/>
  <c r="J325" i="1"/>
  <c r="K325" i="1" s="1"/>
  <c r="M324" i="1"/>
  <c r="L324" i="1"/>
  <c r="J324" i="1"/>
  <c r="K324" i="1" s="1"/>
  <c r="M323" i="1"/>
  <c r="L323" i="1"/>
  <c r="J323" i="1"/>
  <c r="K323" i="1" s="1"/>
  <c r="M322" i="1"/>
  <c r="L322" i="1"/>
  <c r="J322" i="1"/>
  <c r="K322" i="1" s="1"/>
  <c r="M321" i="1"/>
  <c r="L321" i="1"/>
  <c r="J321" i="1"/>
  <c r="K321" i="1" s="1"/>
  <c r="M320" i="1"/>
  <c r="L320" i="1"/>
  <c r="J320" i="1"/>
  <c r="K320" i="1" s="1"/>
  <c r="M319" i="1"/>
  <c r="L319" i="1"/>
  <c r="J319" i="1"/>
  <c r="K319" i="1" s="1"/>
  <c r="M318" i="1"/>
  <c r="L318" i="1"/>
  <c r="J318" i="1"/>
  <c r="K318" i="1" s="1"/>
  <c r="M317" i="1"/>
  <c r="L317" i="1"/>
  <c r="J317" i="1"/>
  <c r="K317" i="1" s="1"/>
  <c r="M316" i="1"/>
  <c r="L316" i="1"/>
  <c r="J316" i="1"/>
  <c r="K316" i="1" s="1"/>
  <c r="M315" i="1"/>
  <c r="L315" i="1"/>
  <c r="J315" i="1"/>
  <c r="K315" i="1" s="1"/>
  <c r="M314" i="1"/>
  <c r="L314" i="1"/>
  <c r="J314" i="1"/>
  <c r="K314" i="1" s="1"/>
  <c r="M313" i="1"/>
  <c r="L313" i="1"/>
  <c r="J313" i="1"/>
  <c r="K313" i="1" s="1"/>
  <c r="M312" i="1"/>
  <c r="L312" i="1"/>
  <c r="J312" i="1"/>
  <c r="K312" i="1" s="1"/>
  <c r="M311" i="1"/>
  <c r="L311" i="1"/>
  <c r="J311" i="1"/>
  <c r="K311" i="1" s="1"/>
  <c r="M310" i="1"/>
  <c r="L310" i="1"/>
  <c r="J310" i="1"/>
  <c r="K310" i="1" s="1"/>
  <c r="M309" i="1"/>
  <c r="L309" i="1"/>
  <c r="J309" i="1"/>
  <c r="K309" i="1" s="1"/>
  <c r="M308" i="1"/>
  <c r="L308" i="1"/>
  <c r="J308" i="1"/>
  <c r="K308" i="1" s="1"/>
  <c r="M307" i="1"/>
  <c r="L307" i="1"/>
  <c r="J307" i="1"/>
  <c r="K307" i="1" s="1"/>
  <c r="M306" i="1"/>
  <c r="L306" i="1"/>
  <c r="J306" i="1"/>
  <c r="K306" i="1" s="1"/>
  <c r="M305" i="1"/>
  <c r="L305" i="1"/>
  <c r="J305" i="1"/>
  <c r="K305" i="1" s="1"/>
  <c r="M304" i="1"/>
  <c r="L304" i="1"/>
  <c r="J304" i="1"/>
  <c r="K304" i="1" s="1"/>
  <c r="M303" i="1"/>
  <c r="L303" i="1"/>
  <c r="J303" i="1"/>
  <c r="K303" i="1" s="1"/>
  <c r="M302" i="1"/>
  <c r="L302" i="1"/>
  <c r="J302" i="1"/>
  <c r="K302" i="1" s="1"/>
  <c r="M301" i="1"/>
  <c r="L301" i="1"/>
  <c r="J301" i="1"/>
  <c r="K301" i="1" s="1"/>
  <c r="M300" i="1"/>
  <c r="L300" i="1"/>
  <c r="J300" i="1"/>
  <c r="K300" i="1" s="1"/>
  <c r="M299" i="1"/>
  <c r="L299" i="1"/>
  <c r="J299" i="1"/>
  <c r="K299" i="1" s="1"/>
  <c r="M296" i="1"/>
  <c r="L296" i="1"/>
  <c r="J296" i="1"/>
  <c r="K296" i="1" s="1"/>
  <c r="M295" i="1"/>
  <c r="L295" i="1"/>
  <c r="J295" i="1"/>
  <c r="K295" i="1" s="1"/>
  <c r="M294" i="1"/>
  <c r="L294" i="1"/>
  <c r="J294" i="1"/>
  <c r="K294" i="1" s="1"/>
  <c r="M293" i="1"/>
  <c r="L293" i="1"/>
  <c r="J293" i="1"/>
  <c r="K293" i="1" s="1"/>
  <c r="M292" i="1"/>
  <c r="L292" i="1"/>
  <c r="J292" i="1"/>
  <c r="K292" i="1" s="1"/>
  <c r="M291" i="1"/>
  <c r="L291" i="1"/>
  <c r="J291" i="1"/>
  <c r="K291" i="1" s="1"/>
  <c r="M290" i="1"/>
  <c r="L290" i="1"/>
  <c r="J290" i="1"/>
  <c r="K290" i="1" s="1"/>
  <c r="M289" i="1"/>
  <c r="L289" i="1"/>
  <c r="J289" i="1"/>
  <c r="K289" i="1" s="1"/>
  <c r="M288" i="1"/>
  <c r="L288" i="1"/>
  <c r="J288" i="1"/>
  <c r="K288" i="1" s="1"/>
  <c r="M287" i="1"/>
  <c r="L287" i="1"/>
  <c r="J287" i="1"/>
  <c r="K287" i="1" s="1"/>
  <c r="M286" i="1"/>
  <c r="L286" i="1"/>
  <c r="J286" i="1"/>
  <c r="K286" i="1" s="1"/>
  <c r="M285" i="1"/>
  <c r="L285" i="1"/>
  <c r="J285" i="1"/>
  <c r="K285" i="1" s="1"/>
  <c r="M284" i="1"/>
  <c r="L284" i="1"/>
  <c r="J284" i="1"/>
  <c r="K284" i="1" s="1"/>
  <c r="M283" i="1"/>
  <c r="L283" i="1"/>
  <c r="J283" i="1"/>
  <c r="K283" i="1" s="1"/>
  <c r="M282" i="1"/>
  <c r="L282" i="1"/>
  <c r="J282" i="1"/>
  <c r="K282" i="1" s="1"/>
  <c r="M281" i="1"/>
  <c r="L281" i="1"/>
  <c r="J281" i="1"/>
  <c r="K281" i="1" s="1"/>
  <c r="M280" i="1"/>
  <c r="L280" i="1"/>
  <c r="J280" i="1"/>
  <c r="K280" i="1" s="1"/>
  <c r="M279" i="1"/>
  <c r="L279" i="1"/>
  <c r="J279" i="1"/>
  <c r="K279" i="1" s="1"/>
  <c r="M278" i="1"/>
  <c r="L278" i="1"/>
  <c r="J278" i="1"/>
  <c r="K278" i="1" s="1"/>
  <c r="M277" i="1"/>
  <c r="L277" i="1"/>
  <c r="J277" i="1"/>
  <c r="K277" i="1" s="1"/>
  <c r="H11" i="12" l="1"/>
  <c r="L11" i="12"/>
  <c r="H12" i="12"/>
  <c r="L12" i="12"/>
  <c r="L13" i="12"/>
  <c r="I12" i="12"/>
  <c r="K10" i="12"/>
  <c r="J10" i="12"/>
  <c r="I10" i="12"/>
  <c r="I18" i="14"/>
  <c r="K18" i="14"/>
  <c r="J18" i="14"/>
  <c r="M5" i="1"/>
  <c r="J5" i="1"/>
  <c r="K5" i="1" s="1"/>
  <c r="M4" i="1"/>
  <c r="L4" i="1"/>
  <c r="J4" i="1"/>
  <c r="K4" i="1" s="1"/>
  <c r="M275" i="1"/>
  <c r="L275" i="1"/>
  <c r="J275" i="1"/>
  <c r="K275" i="1" s="1"/>
  <c r="M274" i="1"/>
  <c r="L274" i="1"/>
  <c r="J274" i="1"/>
  <c r="K274" i="1" s="1"/>
  <c r="M273" i="1"/>
  <c r="L273" i="1"/>
  <c r="J273" i="1"/>
  <c r="K273" i="1" s="1"/>
  <c r="M272" i="1"/>
  <c r="L272" i="1"/>
  <c r="J272" i="1"/>
  <c r="K272" i="1" s="1"/>
  <c r="M271" i="1"/>
  <c r="L271" i="1"/>
  <c r="J271" i="1"/>
  <c r="K271" i="1" s="1"/>
  <c r="M270" i="1"/>
  <c r="L270" i="1"/>
  <c r="J270" i="1"/>
  <c r="K270" i="1" s="1"/>
  <c r="M269" i="1"/>
  <c r="L269" i="1"/>
  <c r="J269" i="1"/>
  <c r="K269" i="1" s="1"/>
  <c r="M268" i="1"/>
  <c r="L268" i="1"/>
  <c r="J268" i="1"/>
  <c r="K268" i="1" s="1"/>
  <c r="M267" i="1"/>
  <c r="L267" i="1"/>
  <c r="J267" i="1"/>
  <c r="K267" i="1" s="1"/>
  <c r="M266" i="1"/>
  <c r="L266" i="1"/>
  <c r="J266" i="1"/>
  <c r="K266" i="1" s="1"/>
  <c r="M265" i="1"/>
  <c r="L265" i="1"/>
  <c r="J265" i="1"/>
  <c r="K265" i="1" s="1"/>
  <c r="M264" i="1"/>
  <c r="L264" i="1"/>
  <c r="J264" i="1"/>
  <c r="K264" i="1" s="1"/>
  <c r="M263" i="1"/>
  <c r="L263" i="1"/>
  <c r="J263" i="1"/>
  <c r="K263" i="1" s="1"/>
  <c r="M262" i="1"/>
  <c r="L262" i="1"/>
  <c r="J262" i="1"/>
  <c r="K262" i="1" s="1"/>
  <c r="M261" i="1"/>
  <c r="L261" i="1"/>
  <c r="J261" i="1"/>
  <c r="K261" i="1" s="1"/>
  <c r="M260" i="1"/>
  <c r="L260" i="1"/>
  <c r="J260" i="1"/>
  <c r="K260" i="1" s="1"/>
  <c r="M259" i="1"/>
  <c r="L259" i="1"/>
  <c r="J259" i="1"/>
  <c r="K259" i="1" s="1"/>
  <c r="M258" i="1"/>
  <c r="L258" i="1"/>
  <c r="J258" i="1"/>
  <c r="K258" i="1" s="1"/>
  <c r="M257" i="1"/>
  <c r="L257" i="1"/>
  <c r="J257" i="1"/>
  <c r="K257" i="1" s="1"/>
  <c r="M256" i="1"/>
  <c r="L256" i="1"/>
  <c r="J256" i="1"/>
  <c r="K256" i="1" s="1"/>
  <c r="M255" i="1"/>
  <c r="L255" i="1"/>
  <c r="J255" i="1"/>
  <c r="K255" i="1" s="1"/>
  <c r="M254" i="1"/>
  <c r="L254" i="1"/>
  <c r="J254" i="1"/>
  <c r="K254" i="1" s="1"/>
  <c r="M253" i="1"/>
  <c r="L253" i="1"/>
  <c r="J253" i="1"/>
  <c r="K253" i="1" s="1"/>
  <c r="M252" i="1"/>
  <c r="L252" i="1"/>
  <c r="J252" i="1"/>
  <c r="K252" i="1" s="1"/>
  <c r="M251" i="1"/>
  <c r="L251" i="1"/>
  <c r="J251" i="1"/>
  <c r="K251" i="1" s="1"/>
  <c r="M250" i="1"/>
  <c r="L250" i="1"/>
  <c r="J250" i="1"/>
  <c r="K250" i="1" s="1"/>
  <c r="M249" i="1"/>
  <c r="L249" i="1"/>
  <c r="J249" i="1"/>
  <c r="K249" i="1" s="1"/>
  <c r="M248" i="1"/>
  <c r="L248" i="1"/>
  <c r="J248" i="1"/>
  <c r="K248" i="1" s="1"/>
  <c r="M247" i="1"/>
  <c r="L247" i="1"/>
  <c r="J247" i="1"/>
  <c r="K247" i="1" s="1"/>
  <c r="M246" i="1"/>
  <c r="L246" i="1"/>
  <c r="J246" i="1"/>
  <c r="K246" i="1" s="1"/>
  <c r="M245" i="1"/>
  <c r="L245" i="1"/>
  <c r="J245" i="1"/>
  <c r="K245" i="1" s="1"/>
  <c r="M244" i="1"/>
  <c r="L244" i="1"/>
  <c r="J244" i="1"/>
  <c r="K244" i="1" s="1"/>
  <c r="M243" i="1"/>
  <c r="L243" i="1"/>
  <c r="J243" i="1"/>
  <c r="K243" i="1" s="1"/>
  <c r="M242" i="1"/>
  <c r="L242" i="1"/>
  <c r="J242" i="1"/>
  <c r="K242" i="1" s="1"/>
  <c r="M241" i="1"/>
  <c r="L241" i="1"/>
  <c r="J241" i="1"/>
  <c r="K241" i="1" s="1"/>
  <c r="M240" i="1"/>
  <c r="L240" i="1"/>
  <c r="J240" i="1"/>
  <c r="K240" i="1" s="1"/>
  <c r="M239" i="1"/>
  <c r="L239" i="1"/>
  <c r="J239" i="1"/>
  <c r="K239" i="1" s="1"/>
  <c r="M238" i="1"/>
  <c r="L238" i="1"/>
  <c r="J238" i="1"/>
  <c r="K238" i="1" s="1"/>
  <c r="M237" i="1"/>
  <c r="L237" i="1"/>
  <c r="J237" i="1"/>
  <c r="K237" i="1" s="1"/>
  <c r="M236" i="1"/>
  <c r="L236" i="1"/>
  <c r="J236" i="1"/>
  <c r="K236" i="1" s="1"/>
  <c r="M235" i="1"/>
  <c r="L235" i="1"/>
  <c r="J235" i="1"/>
  <c r="K235" i="1" s="1"/>
  <c r="M234" i="1"/>
  <c r="L234" i="1"/>
  <c r="J234" i="1"/>
  <c r="K234" i="1" s="1"/>
  <c r="M233" i="1"/>
  <c r="L233" i="1"/>
  <c r="J233" i="1"/>
  <c r="K233" i="1" s="1"/>
  <c r="M232" i="1"/>
  <c r="L232" i="1"/>
  <c r="J232" i="1"/>
  <c r="K232" i="1" s="1"/>
  <c r="M231" i="1"/>
  <c r="L231" i="1"/>
  <c r="J231" i="1"/>
  <c r="K231" i="1" s="1"/>
  <c r="M230" i="1"/>
  <c r="L230" i="1"/>
  <c r="J230" i="1"/>
  <c r="K230" i="1" s="1"/>
  <c r="M229" i="1"/>
  <c r="L229" i="1"/>
  <c r="J229" i="1"/>
  <c r="K229" i="1" s="1"/>
  <c r="M228" i="1"/>
  <c r="L228" i="1"/>
  <c r="J228" i="1"/>
  <c r="K228" i="1" s="1"/>
  <c r="M227" i="1"/>
  <c r="L227" i="1"/>
  <c r="J227" i="1"/>
  <c r="K227" i="1" s="1"/>
  <c r="M226" i="1"/>
  <c r="L226" i="1"/>
  <c r="J226" i="1"/>
  <c r="K226" i="1" s="1"/>
  <c r="M225" i="1"/>
  <c r="L225" i="1"/>
  <c r="J225" i="1"/>
  <c r="K225" i="1" s="1"/>
  <c r="M224" i="1"/>
  <c r="L224" i="1"/>
  <c r="J224" i="1"/>
  <c r="K224" i="1" s="1"/>
  <c r="M223" i="1"/>
  <c r="L223" i="1"/>
  <c r="J223" i="1"/>
  <c r="K223" i="1" s="1"/>
  <c r="M222" i="1"/>
  <c r="L222" i="1"/>
  <c r="J222" i="1"/>
  <c r="K222" i="1" s="1"/>
  <c r="M221" i="1"/>
  <c r="L221" i="1"/>
  <c r="J221" i="1"/>
  <c r="K221" i="1" s="1"/>
  <c r="M220" i="1"/>
  <c r="L220" i="1"/>
  <c r="J220" i="1"/>
  <c r="K220" i="1" s="1"/>
  <c r="M219" i="1"/>
  <c r="L219" i="1"/>
  <c r="J219" i="1"/>
  <c r="K219" i="1" s="1"/>
  <c r="M218" i="1"/>
  <c r="L218" i="1"/>
  <c r="J218" i="1"/>
  <c r="K218" i="1" s="1"/>
  <c r="M217" i="1"/>
  <c r="L217" i="1"/>
  <c r="J217" i="1"/>
  <c r="K217" i="1" s="1"/>
  <c r="M216" i="1"/>
  <c r="L216" i="1"/>
  <c r="J216" i="1"/>
  <c r="K216" i="1" s="1"/>
  <c r="M215" i="1"/>
  <c r="L215" i="1"/>
  <c r="J215" i="1"/>
  <c r="K215" i="1" s="1"/>
  <c r="M214" i="1"/>
  <c r="L214" i="1"/>
  <c r="J214" i="1"/>
  <c r="K214" i="1" s="1"/>
  <c r="M213" i="1"/>
  <c r="L213" i="1"/>
  <c r="J213" i="1"/>
  <c r="K213" i="1" s="1"/>
  <c r="M212" i="1"/>
  <c r="L212" i="1"/>
  <c r="J212" i="1"/>
  <c r="K212" i="1" s="1"/>
  <c r="M211" i="1"/>
  <c r="L211" i="1"/>
  <c r="J211" i="1"/>
  <c r="K211" i="1" s="1"/>
  <c r="M210" i="1"/>
  <c r="L210" i="1"/>
  <c r="J210" i="1"/>
  <c r="K210" i="1" s="1"/>
  <c r="M209" i="1"/>
  <c r="L209" i="1"/>
  <c r="J209" i="1"/>
  <c r="K209" i="1" s="1"/>
  <c r="M208" i="1"/>
  <c r="L208" i="1"/>
  <c r="J208" i="1"/>
  <c r="K208" i="1" s="1"/>
  <c r="M207" i="1"/>
  <c r="L207" i="1"/>
  <c r="J207" i="1"/>
  <c r="K207" i="1" s="1"/>
  <c r="M206" i="1"/>
  <c r="L206" i="1"/>
  <c r="J206" i="1"/>
  <c r="K206" i="1" s="1"/>
  <c r="M205" i="1"/>
  <c r="L205" i="1"/>
  <c r="J205" i="1"/>
  <c r="K205" i="1" s="1"/>
  <c r="M204" i="1"/>
  <c r="L204" i="1"/>
  <c r="J204" i="1"/>
  <c r="K204" i="1" s="1"/>
  <c r="M203" i="1"/>
  <c r="L203" i="1"/>
  <c r="J203" i="1"/>
  <c r="K203" i="1" s="1"/>
  <c r="M202" i="1"/>
  <c r="L202" i="1"/>
  <c r="J202" i="1"/>
  <c r="K202" i="1" s="1"/>
  <c r="M201" i="1"/>
  <c r="L201" i="1"/>
  <c r="J201" i="1"/>
  <c r="K201" i="1" s="1"/>
  <c r="M200" i="1"/>
  <c r="L200" i="1"/>
  <c r="J200" i="1"/>
  <c r="K200" i="1" s="1"/>
  <c r="M199" i="1"/>
  <c r="L199" i="1"/>
  <c r="J199" i="1"/>
  <c r="K199" i="1" s="1"/>
  <c r="M198" i="1"/>
  <c r="L198" i="1"/>
  <c r="J198" i="1"/>
  <c r="K198" i="1" s="1"/>
  <c r="M197" i="1"/>
  <c r="L197" i="1"/>
  <c r="J197" i="1"/>
  <c r="K197" i="1" s="1"/>
  <c r="M196" i="1"/>
  <c r="L196" i="1"/>
  <c r="J196" i="1"/>
  <c r="K196" i="1" s="1"/>
  <c r="M195" i="1"/>
  <c r="L195" i="1"/>
  <c r="J195" i="1"/>
  <c r="K195" i="1" s="1"/>
  <c r="M194" i="1"/>
  <c r="L194" i="1"/>
  <c r="J194" i="1"/>
  <c r="K194" i="1" s="1"/>
  <c r="M193" i="1"/>
  <c r="L193" i="1"/>
  <c r="J193" i="1"/>
  <c r="K193" i="1" s="1"/>
  <c r="M192" i="1"/>
  <c r="L192" i="1"/>
  <c r="J192" i="1"/>
  <c r="K192" i="1" s="1"/>
  <c r="M191" i="1"/>
  <c r="L191" i="1"/>
  <c r="J191" i="1"/>
  <c r="K191" i="1" s="1"/>
  <c r="M190" i="1"/>
  <c r="L190" i="1"/>
  <c r="J190" i="1"/>
  <c r="K190" i="1" s="1"/>
  <c r="M189" i="1"/>
  <c r="L189" i="1"/>
  <c r="J189" i="1"/>
  <c r="K189" i="1" s="1"/>
  <c r="M188" i="1"/>
  <c r="L188" i="1"/>
  <c r="J188" i="1"/>
  <c r="K188" i="1" s="1"/>
  <c r="M187" i="1"/>
  <c r="L187" i="1"/>
  <c r="J187" i="1"/>
  <c r="K187" i="1" s="1"/>
  <c r="M186" i="1"/>
  <c r="L186" i="1"/>
  <c r="J186" i="1"/>
  <c r="K186" i="1" s="1"/>
  <c r="M185" i="1"/>
  <c r="L185" i="1"/>
  <c r="J185" i="1"/>
  <c r="K185" i="1" s="1"/>
  <c r="M184" i="1"/>
  <c r="L184" i="1"/>
  <c r="J184" i="1"/>
  <c r="K184" i="1" s="1"/>
  <c r="M183" i="1"/>
  <c r="L183" i="1"/>
  <c r="J183" i="1"/>
  <c r="K183" i="1" s="1"/>
  <c r="M182" i="1"/>
  <c r="L182" i="1"/>
  <c r="J182" i="1"/>
  <c r="K182" i="1" s="1"/>
  <c r="M181" i="1"/>
  <c r="L181" i="1"/>
  <c r="J181" i="1"/>
  <c r="K181" i="1" s="1"/>
  <c r="M180" i="1"/>
  <c r="L180" i="1"/>
  <c r="J180" i="1"/>
  <c r="K180" i="1" s="1"/>
  <c r="M179" i="1"/>
  <c r="L179" i="1"/>
  <c r="J179" i="1"/>
  <c r="K179" i="1" s="1"/>
  <c r="M178" i="1"/>
  <c r="L178" i="1"/>
  <c r="J178" i="1"/>
  <c r="K178" i="1" s="1"/>
  <c r="M177" i="1"/>
  <c r="L177" i="1"/>
  <c r="J177" i="1"/>
  <c r="K177" i="1" s="1"/>
  <c r="M176" i="1"/>
  <c r="L176" i="1"/>
  <c r="J176" i="1"/>
  <c r="K176" i="1" s="1"/>
  <c r="M175" i="1"/>
  <c r="L175" i="1"/>
  <c r="J175" i="1"/>
  <c r="K175" i="1" s="1"/>
  <c r="M174" i="1"/>
  <c r="L174" i="1"/>
  <c r="J174" i="1"/>
  <c r="K174" i="1" s="1"/>
  <c r="M173" i="1"/>
  <c r="L173" i="1"/>
  <c r="J173" i="1"/>
  <c r="K173" i="1" s="1"/>
  <c r="M172" i="1"/>
  <c r="L172" i="1"/>
  <c r="J172" i="1"/>
  <c r="K172" i="1" s="1"/>
  <c r="M171" i="1"/>
  <c r="L171" i="1"/>
  <c r="J171" i="1"/>
  <c r="K171" i="1" s="1"/>
  <c r="M170" i="1"/>
  <c r="L170" i="1"/>
  <c r="J170" i="1"/>
  <c r="K170" i="1" s="1"/>
  <c r="M169" i="1"/>
  <c r="L169" i="1"/>
  <c r="J169" i="1"/>
  <c r="K169" i="1" s="1"/>
  <c r="M168" i="1"/>
  <c r="L168" i="1"/>
  <c r="J168" i="1"/>
  <c r="K168" i="1" s="1"/>
  <c r="M167" i="1"/>
  <c r="L167" i="1"/>
  <c r="J167" i="1"/>
  <c r="K167" i="1" s="1"/>
  <c r="M166" i="1"/>
  <c r="L166" i="1"/>
  <c r="J166" i="1"/>
  <c r="K166" i="1" s="1"/>
  <c r="M165" i="1"/>
  <c r="L165" i="1"/>
  <c r="J165" i="1"/>
  <c r="K165" i="1" s="1"/>
  <c r="M164" i="1"/>
  <c r="L164" i="1"/>
  <c r="J164" i="1"/>
  <c r="K164" i="1" s="1"/>
  <c r="M163" i="1"/>
  <c r="L163" i="1"/>
  <c r="J163" i="1"/>
  <c r="K163" i="1" s="1"/>
  <c r="M162" i="1"/>
  <c r="L162" i="1"/>
  <c r="J162" i="1"/>
  <c r="K162" i="1" s="1"/>
  <c r="M161" i="1"/>
  <c r="L161" i="1"/>
  <c r="J161" i="1"/>
  <c r="K161" i="1" s="1"/>
  <c r="M160" i="1"/>
  <c r="L160" i="1"/>
  <c r="J160" i="1"/>
  <c r="K160" i="1" s="1"/>
  <c r="M159" i="1"/>
  <c r="L159" i="1"/>
  <c r="J159" i="1"/>
  <c r="K159" i="1" s="1"/>
  <c r="M158" i="1"/>
  <c r="L158" i="1"/>
  <c r="J158" i="1"/>
  <c r="K158" i="1" s="1"/>
  <c r="M157" i="1"/>
  <c r="L157" i="1"/>
  <c r="J157" i="1"/>
  <c r="K157" i="1" s="1"/>
  <c r="M156" i="1"/>
  <c r="L156" i="1"/>
  <c r="J156" i="1"/>
  <c r="K156" i="1" s="1"/>
  <c r="M155" i="1"/>
  <c r="L155" i="1"/>
  <c r="J155" i="1"/>
  <c r="K155" i="1" s="1"/>
  <c r="M154" i="1"/>
  <c r="L154" i="1"/>
  <c r="J154" i="1"/>
  <c r="K154" i="1" s="1"/>
  <c r="M153" i="1"/>
  <c r="L153" i="1"/>
  <c r="J153" i="1"/>
  <c r="K153" i="1" s="1"/>
  <c r="M152" i="1"/>
  <c r="L152" i="1"/>
  <c r="J152" i="1"/>
  <c r="K152" i="1" s="1"/>
  <c r="M151" i="1"/>
  <c r="L151" i="1"/>
  <c r="J151" i="1"/>
  <c r="K151" i="1" s="1"/>
  <c r="M150" i="1"/>
  <c r="L150" i="1"/>
  <c r="J150" i="1"/>
  <c r="K150" i="1" s="1"/>
  <c r="M149" i="1"/>
  <c r="L149" i="1"/>
  <c r="J149" i="1"/>
  <c r="K149" i="1" s="1"/>
  <c r="M148" i="1"/>
  <c r="L148" i="1"/>
  <c r="J148" i="1"/>
  <c r="K148" i="1" s="1"/>
  <c r="M147" i="1"/>
  <c r="L147" i="1"/>
  <c r="J147" i="1"/>
  <c r="K147" i="1" s="1"/>
  <c r="M146" i="1"/>
  <c r="L146" i="1"/>
  <c r="J146" i="1"/>
  <c r="K146" i="1" s="1"/>
  <c r="M145" i="1"/>
  <c r="L145" i="1"/>
  <c r="J145" i="1"/>
  <c r="K145" i="1" s="1"/>
  <c r="M144" i="1"/>
  <c r="L144" i="1"/>
  <c r="J144" i="1"/>
  <c r="K144" i="1" s="1"/>
  <c r="M143" i="1"/>
  <c r="L143" i="1"/>
  <c r="J143" i="1"/>
  <c r="K143" i="1" s="1"/>
  <c r="M142" i="1"/>
  <c r="L142" i="1"/>
  <c r="J142" i="1"/>
  <c r="K142" i="1" s="1"/>
  <c r="M141" i="1"/>
  <c r="L141" i="1"/>
  <c r="J141" i="1"/>
  <c r="K141" i="1" s="1"/>
  <c r="M140" i="1"/>
  <c r="L140" i="1"/>
  <c r="J140" i="1"/>
  <c r="K140" i="1" s="1"/>
  <c r="M139" i="1"/>
  <c r="L139" i="1"/>
  <c r="J139" i="1"/>
  <c r="K139" i="1" s="1"/>
  <c r="M138" i="1"/>
  <c r="L138" i="1"/>
  <c r="J138" i="1"/>
  <c r="K138" i="1" s="1"/>
  <c r="M137" i="1"/>
  <c r="L137" i="1"/>
  <c r="J137" i="1"/>
  <c r="K137" i="1" s="1"/>
  <c r="M136" i="1"/>
  <c r="L136" i="1"/>
  <c r="J136" i="1"/>
  <c r="K136" i="1" s="1"/>
  <c r="M135" i="1"/>
  <c r="L135" i="1"/>
  <c r="J135" i="1"/>
  <c r="K135" i="1" s="1"/>
  <c r="M134" i="1"/>
  <c r="L134" i="1"/>
  <c r="J134" i="1"/>
  <c r="K134" i="1" s="1"/>
  <c r="M133" i="1"/>
  <c r="L133" i="1"/>
  <c r="J133" i="1"/>
  <c r="K133" i="1" s="1"/>
  <c r="M132" i="1"/>
  <c r="L132" i="1"/>
  <c r="J132" i="1"/>
  <c r="K132" i="1" s="1"/>
  <c r="M131" i="1"/>
  <c r="L131" i="1"/>
  <c r="J131" i="1"/>
  <c r="K131" i="1" s="1"/>
  <c r="M130" i="1"/>
  <c r="L130" i="1"/>
  <c r="J130" i="1"/>
  <c r="K130" i="1" s="1"/>
  <c r="M129" i="1"/>
  <c r="L129" i="1"/>
  <c r="J129" i="1"/>
  <c r="K129" i="1" s="1"/>
  <c r="M128" i="1"/>
  <c r="L128" i="1"/>
  <c r="J128" i="1"/>
  <c r="K128" i="1" s="1"/>
  <c r="M127" i="1"/>
  <c r="L127" i="1"/>
  <c r="J127" i="1"/>
  <c r="K127" i="1" s="1"/>
  <c r="M126" i="1"/>
  <c r="L126" i="1"/>
  <c r="J126" i="1"/>
  <c r="K126" i="1" s="1"/>
  <c r="M125" i="1"/>
  <c r="L125" i="1"/>
  <c r="J125" i="1"/>
  <c r="K125" i="1" s="1"/>
  <c r="M124" i="1"/>
  <c r="L124" i="1"/>
  <c r="J124" i="1"/>
  <c r="K124" i="1" s="1"/>
  <c r="M123" i="1"/>
  <c r="L123" i="1"/>
  <c r="J123" i="1"/>
  <c r="K123" i="1" s="1"/>
  <c r="M122" i="1"/>
  <c r="L122" i="1"/>
  <c r="J122" i="1"/>
  <c r="K122" i="1" s="1"/>
  <c r="M121" i="1"/>
  <c r="L121" i="1"/>
  <c r="J121" i="1"/>
  <c r="K121" i="1" s="1"/>
  <c r="M120" i="1"/>
  <c r="L120" i="1"/>
  <c r="J120" i="1"/>
  <c r="K120" i="1" s="1"/>
  <c r="M119" i="1"/>
  <c r="L119" i="1"/>
  <c r="J119" i="1"/>
  <c r="K119" i="1" s="1"/>
  <c r="M118" i="1"/>
  <c r="L118" i="1"/>
  <c r="J118" i="1"/>
  <c r="K118" i="1" s="1"/>
  <c r="M117" i="1"/>
  <c r="L117" i="1"/>
  <c r="J117" i="1"/>
  <c r="K117" i="1" s="1"/>
  <c r="M116" i="1"/>
  <c r="L116" i="1"/>
  <c r="J116" i="1"/>
  <c r="K116" i="1" s="1"/>
  <c r="M115" i="1"/>
  <c r="L115" i="1"/>
  <c r="J115" i="1"/>
  <c r="K115" i="1" s="1"/>
  <c r="M114" i="1"/>
  <c r="L114" i="1"/>
  <c r="J114" i="1"/>
  <c r="K114" i="1" s="1"/>
  <c r="M113" i="1"/>
  <c r="L113" i="1"/>
  <c r="J113" i="1"/>
  <c r="K113" i="1" s="1"/>
  <c r="M112" i="1"/>
  <c r="L112" i="1"/>
  <c r="J112" i="1"/>
  <c r="K112" i="1" s="1"/>
  <c r="M111" i="1"/>
  <c r="L111" i="1"/>
  <c r="J111" i="1"/>
  <c r="K111" i="1" s="1"/>
  <c r="M110" i="1"/>
  <c r="L110" i="1"/>
  <c r="J110" i="1"/>
  <c r="K110" i="1" s="1"/>
  <c r="M109" i="1"/>
  <c r="L109" i="1"/>
  <c r="J109" i="1"/>
  <c r="K109" i="1" s="1"/>
  <c r="M108" i="1"/>
  <c r="L108" i="1"/>
  <c r="J108" i="1"/>
  <c r="K108" i="1" s="1"/>
  <c r="M107" i="1"/>
  <c r="L107" i="1"/>
  <c r="J107" i="1"/>
  <c r="K107" i="1" s="1"/>
  <c r="M106" i="1"/>
  <c r="L106" i="1"/>
  <c r="J106" i="1"/>
  <c r="K106" i="1" s="1"/>
  <c r="M105" i="1"/>
  <c r="L105" i="1"/>
  <c r="J105" i="1"/>
  <c r="K105" i="1" s="1"/>
  <c r="M104" i="1"/>
  <c r="L104" i="1"/>
  <c r="J104" i="1"/>
  <c r="K104" i="1" s="1"/>
  <c r="M103" i="1"/>
  <c r="L103" i="1"/>
  <c r="J103" i="1"/>
  <c r="K103" i="1" s="1"/>
  <c r="M102" i="1"/>
  <c r="L102" i="1"/>
  <c r="J102" i="1"/>
  <c r="K102" i="1" s="1"/>
  <c r="M101" i="1"/>
  <c r="L101" i="1"/>
  <c r="J101" i="1"/>
  <c r="K101" i="1" s="1"/>
  <c r="M100" i="1"/>
  <c r="L100" i="1"/>
  <c r="J100" i="1"/>
  <c r="K100" i="1" s="1"/>
  <c r="M99" i="1"/>
  <c r="L99" i="1"/>
  <c r="J99" i="1"/>
  <c r="K99" i="1" s="1"/>
  <c r="M98" i="1"/>
  <c r="L98" i="1"/>
  <c r="J98" i="1"/>
  <c r="K98" i="1" s="1"/>
  <c r="M97" i="1"/>
  <c r="L97" i="1"/>
  <c r="J97" i="1"/>
  <c r="K97" i="1" s="1"/>
  <c r="M96" i="1"/>
  <c r="L96" i="1"/>
  <c r="J96" i="1"/>
  <c r="K96" i="1" s="1"/>
  <c r="M95" i="1"/>
  <c r="L95" i="1"/>
  <c r="J95" i="1"/>
  <c r="K95" i="1" s="1"/>
  <c r="M94" i="1"/>
  <c r="L94" i="1"/>
  <c r="J94" i="1"/>
  <c r="K94" i="1" s="1"/>
  <c r="M93" i="1"/>
  <c r="L93" i="1"/>
  <c r="J93" i="1"/>
  <c r="K93" i="1" s="1"/>
  <c r="M92" i="1"/>
  <c r="L92" i="1"/>
  <c r="J92" i="1"/>
  <c r="K92" i="1" s="1"/>
  <c r="M91" i="1"/>
  <c r="L91" i="1"/>
  <c r="J91" i="1"/>
  <c r="K91" i="1" s="1"/>
  <c r="M90" i="1"/>
  <c r="L90" i="1"/>
  <c r="J90" i="1"/>
  <c r="K90" i="1" s="1"/>
  <c r="M89" i="1"/>
  <c r="L89" i="1"/>
  <c r="J89" i="1"/>
  <c r="K89" i="1" s="1"/>
  <c r="M88" i="1"/>
  <c r="L88" i="1"/>
  <c r="J88" i="1"/>
  <c r="K88" i="1" s="1"/>
  <c r="M87" i="1"/>
  <c r="L87" i="1"/>
  <c r="J87" i="1"/>
  <c r="K87" i="1" s="1"/>
  <c r="M86" i="1"/>
  <c r="L86" i="1"/>
  <c r="J86" i="1"/>
  <c r="K86" i="1" s="1"/>
  <c r="M85" i="1"/>
  <c r="L85" i="1"/>
  <c r="J85" i="1"/>
  <c r="K85" i="1" s="1"/>
  <c r="M84" i="1"/>
  <c r="L84" i="1"/>
  <c r="J84" i="1"/>
  <c r="K84" i="1" s="1"/>
  <c r="M83" i="1"/>
  <c r="L83" i="1"/>
  <c r="J83" i="1"/>
  <c r="K83" i="1" s="1"/>
  <c r="M82" i="1"/>
  <c r="L82" i="1"/>
  <c r="J82" i="1"/>
  <c r="K82" i="1" s="1"/>
  <c r="M81" i="1"/>
  <c r="L81" i="1"/>
  <c r="J81" i="1"/>
  <c r="K81" i="1" s="1"/>
  <c r="M80" i="1"/>
  <c r="L80" i="1"/>
  <c r="J80" i="1"/>
  <c r="K80" i="1" s="1"/>
  <c r="M79" i="1"/>
  <c r="L79" i="1"/>
  <c r="J79" i="1"/>
  <c r="K79" i="1" s="1"/>
  <c r="M78" i="1"/>
  <c r="L78" i="1"/>
  <c r="J78" i="1"/>
  <c r="K78" i="1" s="1"/>
  <c r="M77" i="1"/>
  <c r="L77" i="1"/>
  <c r="J77" i="1"/>
  <c r="K77" i="1" s="1"/>
  <c r="M76" i="1"/>
  <c r="L76" i="1"/>
  <c r="J76" i="1"/>
  <c r="K76" i="1" s="1"/>
  <c r="M75" i="1"/>
  <c r="L75" i="1"/>
  <c r="J75" i="1"/>
  <c r="K75" i="1" s="1"/>
  <c r="M74" i="1"/>
  <c r="L74" i="1"/>
  <c r="J74" i="1"/>
  <c r="K74" i="1" s="1"/>
  <c r="M73" i="1"/>
  <c r="L73" i="1"/>
  <c r="J73" i="1"/>
  <c r="K73" i="1" s="1"/>
  <c r="M72" i="1"/>
  <c r="L72" i="1"/>
  <c r="J72" i="1"/>
  <c r="K72" i="1" s="1"/>
  <c r="M71" i="1"/>
  <c r="L71" i="1"/>
  <c r="J71" i="1"/>
  <c r="K71" i="1" s="1"/>
  <c r="M70" i="1"/>
  <c r="L70" i="1"/>
  <c r="J70" i="1"/>
  <c r="K70" i="1" s="1"/>
  <c r="M69" i="1"/>
  <c r="L69" i="1"/>
  <c r="J69" i="1"/>
  <c r="K69" i="1" s="1"/>
  <c r="M68" i="1"/>
  <c r="L68" i="1"/>
  <c r="J68" i="1"/>
  <c r="K68" i="1" s="1"/>
  <c r="M67" i="1"/>
  <c r="L67" i="1"/>
  <c r="J67" i="1"/>
  <c r="K67" i="1" s="1"/>
  <c r="M66" i="1"/>
  <c r="L66" i="1"/>
  <c r="J66" i="1"/>
  <c r="K66" i="1" s="1"/>
  <c r="M65" i="1"/>
  <c r="L65" i="1"/>
  <c r="J65" i="1"/>
  <c r="K65" i="1" s="1"/>
  <c r="M64" i="1"/>
  <c r="L64" i="1"/>
  <c r="J64" i="1"/>
  <c r="K64" i="1" s="1"/>
  <c r="M63" i="1"/>
  <c r="L63" i="1"/>
  <c r="J63" i="1"/>
  <c r="K63" i="1" s="1"/>
  <c r="M62" i="1"/>
  <c r="L62" i="1"/>
  <c r="J62" i="1"/>
  <c r="K62" i="1" s="1"/>
  <c r="M61" i="1"/>
  <c r="L61" i="1"/>
  <c r="J61" i="1"/>
  <c r="K61" i="1" s="1"/>
  <c r="M60" i="1"/>
  <c r="L60" i="1"/>
  <c r="J60" i="1"/>
  <c r="K60" i="1" s="1"/>
  <c r="M59" i="1"/>
  <c r="L59" i="1"/>
  <c r="J59" i="1"/>
  <c r="K59" i="1" s="1"/>
  <c r="M58" i="1"/>
  <c r="L58" i="1"/>
  <c r="J58" i="1"/>
  <c r="K58" i="1" s="1"/>
  <c r="M57" i="1"/>
  <c r="L57" i="1"/>
  <c r="J57" i="1"/>
  <c r="K57" i="1" s="1"/>
  <c r="M56" i="1"/>
  <c r="L56" i="1"/>
  <c r="J56" i="1"/>
  <c r="K56" i="1" s="1"/>
  <c r="M55" i="1"/>
  <c r="L55" i="1"/>
  <c r="J55" i="1"/>
  <c r="K55" i="1" s="1"/>
  <c r="M54" i="1"/>
  <c r="L54" i="1"/>
  <c r="J54" i="1"/>
  <c r="K54" i="1" s="1"/>
  <c r="M53" i="1"/>
  <c r="L53" i="1"/>
  <c r="J53" i="1"/>
  <c r="K53" i="1" s="1"/>
  <c r="M52" i="1"/>
  <c r="L52" i="1"/>
  <c r="J52" i="1"/>
  <c r="K52" i="1" s="1"/>
  <c r="M51" i="1"/>
  <c r="L51" i="1"/>
  <c r="J51" i="1"/>
  <c r="K51" i="1" s="1"/>
  <c r="M50" i="1"/>
  <c r="L50" i="1"/>
  <c r="J50" i="1"/>
  <c r="K50" i="1" s="1"/>
  <c r="M49" i="1"/>
  <c r="L49" i="1"/>
  <c r="J49" i="1"/>
  <c r="K49" i="1" s="1"/>
  <c r="M48" i="1"/>
  <c r="L48" i="1"/>
  <c r="J48" i="1"/>
  <c r="K48" i="1" s="1"/>
  <c r="M47" i="1"/>
  <c r="L47" i="1"/>
  <c r="J47" i="1"/>
  <c r="K47" i="1" s="1"/>
  <c r="M46" i="1"/>
  <c r="L46" i="1"/>
  <c r="J46" i="1"/>
  <c r="K46" i="1" s="1"/>
  <c r="M45" i="1"/>
  <c r="L45" i="1"/>
  <c r="J45" i="1"/>
  <c r="K45" i="1" s="1"/>
  <c r="M44" i="1"/>
  <c r="L44" i="1"/>
  <c r="J44" i="1"/>
  <c r="K44" i="1" s="1"/>
  <c r="M43" i="1"/>
  <c r="L43" i="1"/>
  <c r="J43" i="1"/>
  <c r="K43" i="1" s="1"/>
  <c r="M42" i="1"/>
  <c r="L42" i="1"/>
  <c r="J42" i="1"/>
  <c r="K42" i="1" s="1"/>
  <c r="M41" i="1"/>
  <c r="L41" i="1"/>
  <c r="J41" i="1"/>
  <c r="K41" i="1" s="1"/>
  <c r="M40" i="1"/>
  <c r="L40" i="1"/>
  <c r="J40" i="1"/>
  <c r="K40" i="1" s="1"/>
  <c r="M39" i="1"/>
  <c r="L39" i="1"/>
  <c r="J39" i="1"/>
  <c r="K39" i="1" s="1"/>
  <c r="M38" i="1"/>
  <c r="L38" i="1"/>
  <c r="J38" i="1"/>
  <c r="K38" i="1" s="1"/>
  <c r="M37" i="1"/>
  <c r="L37" i="1"/>
  <c r="J37" i="1"/>
  <c r="K37" i="1" s="1"/>
  <c r="M36" i="1"/>
  <c r="L36" i="1"/>
  <c r="J36" i="1"/>
  <c r="K36" i="1" s="1"/>
  <c r="M35" i="1"/>
  <c r="L35" i="1"/>
  <c r="J35" i="1"/>
  <c r="K35" i="1" s="1"/>
  <c r="M34" i="1"/>
  <c r="L34" i="1"/>
  <c r="J34" i="1"/>
  <c r="K34" i="1" s="1"/>
  <c r="M33" i="1"/>
  <c r="L33" i="1"/>
  <c r="J33" i="1"/>
  <c r="K33" i="1" s="1"/>
  <c r="M32" i="1"/>
  <c r="L32" i="1"/>
  <c r="J32" i="1"/>
  <c r="K32" i="1" s="1"/>
  <c r="M31" i="1"/>
  <c r="L31" i="1"/>
  <c r="J31" i="1"/>
  <c r="K31" i="1" s="1"/>
  <c r="M30" i="1"/>
  <c r="L30" i="1"/>
  <c r="J30" i="1"/>
  <c r="K30" i="1" s="1"/>
  <c r="M29" i="1"/>
  <c r="L29" i="1"/>
  <c r="J29" i="1"/>
  <c r="K29" i="1" s="1"/>
  <c r="M28" i="1"/>
  <c r="L28" i="1"/>
  <c r="J28" i="1"/>
  <c r="K28" i="1" s="1"/>
  <c r="M27" i="1"/>
  <c r="L27" i="1"/>
  <c r="J27" i="1"/>
  <c r="K27" i="1" s="1"/>
  <c r="M26" i="1"/>
  <c r="L26" i="1"/>
  <c r="J26" i="1"/>
  <c r="K26" i="1" s="1"/>
  <c r="M25" i="1"/>
  <c r="L25" i="1"/>
  <c r="J25" i="1"/>
  <c r="K25" i="1" s="1"/>
  <c r="M24" i="1"/>
  <c r="L24" i="1"/>
  <c r="J24" i="1"/>
  <c r="K24" i="1" s="1"/>
  <c r="M23" i="1"/>
  <c r="L23" i="1"/>
  <c r="J23" i="1"/>
  <c r="K23" i="1" s="1"/>
  <c r="M22" i="1"/>
  <c r="L22" i="1"/>
  <c r="J22" i="1"/>
  <c r="K22" i="1" s="1"/>
  <c r="M21" i="1"/>
  <c r="L21" i="1"/>
  <c r="J21" i="1"/>
  <c r="K21" i="1" s="1"/>
  <c r="M20" i="1"/>
  <c r="L20" i="1"/>
  <c r="J20" i="1"/>
  <c r="K20" i="1" s="1"/>
  <c r="M19" i="1"/>
  <c r="L19" i="1"/>
  <c r="J19" i="1"/>
  <c r="K19" i="1" s="1"/>
  <c r="M18" i="1"/>
  <c r="L18" i="1"/>
  <c r="J18" i="1"/>
  <c r="K18" i="1" s="1"/>
  <c r="M17" i="1"/>
  <c r="L17" i="1"/>
  <c r="J17" i="1"/>
  <c r="K17" i="1" s="1"/>
  <c r="M16" i="1"/>
  <c r="L16" i="1"/>
  <c r="J16" i="1"/>
  <c r="K16" i="1" s="1"/>
  <c r="M15" i="1"/>
  <c r="L15" i="1"/>
  <c r="J15" i="1"/>
  <c r="K15" i="1" s="1"/>
  <c r="M14" i="1"/>
  <c r="L14" i="1"/>
  <c r="J14" i="1"/>
  <c r="K14" i="1" s="1"/>
  <c r="M13" i="1"/>
  <c r="L13" i="1"/>
  <c r="J13" i="1"/>
  <c r="K13" i="1" s="1"/>
  <c r="M12" i="1"/>
  <c r="L12" i="1"/>
  <c r="J12" i="1"/>
  <c r="K12" i="1" s="1"/>
  <c r="M11" i="1"/>
  <c r="L11" i="1"/>
  <c r="J11" i="1"/>
  <c r="K11" i="1" s="1"/>
  <c r="M10" i="1"/>
  <c r="L10" i="1"/>
  <c r="J10" i="1"/>
  <c r="K10" i="1" s="1"/>
  <c r="M9" i="1"/>
  <c r="L9" i="1"/>
  <c r="J9" i="1"/>
  <c r="K9" i="1" s="1"/>
  <c r="M8" i="1"/>
  <c r="L8" i="1"/>
  <c r="J8" i="1"/>
  <c r="K8" i="1" s="1"/>
  <c r="M7" i="1"/>
  <c r="L7" i="1"/>
  <c r="J7" i="1"/>
  <c r="K7" i="1" s="1"/>
  <c r="M3" i="1"/>
  <c r="L3" i="1"/>
  <c r="J3" i="1"/>
  <c r="K3" i="1" s="1"/>
  <c r="K21" i="21"/>
  <c r="J9" i="21"/>
  <c r="K9" i="21" s="1"/>
  <c r="M9" i="21"/>
  <c r="O9" i="21"/>
  <c r="K19" i="21"/>
  <c r="E15" i="21"/>
  <c r="E14" i="21"/>
  <c r="E13" i="21"/>
  <c r="O8" i="21"/>
  <c r="M8" i="21"/>
  <c r="J8" i="21"/>
  <c r="K8" i="21" s="1"/>
  <c r="O7" i="21"/>
  <c r="M7" i="21"/>
  <c r="J7" i="21"/>
  <c r="K32" i="9"/>
  <c r="K30" i="9"/>
  <c r="K31" i="9"/>
  <c r="M108" i="8"/>
  <c r="O109" i="8"/>
  <c r="M109" i="8"/>
  <c r="O108" i="8"/>
  <c r="O107" i="8"/>
  <c r="M107" i="8"/>
  <c r="O106" i="8"/>
  <c r="M106" i="8"/>
  <c r="O105" i="8"/>
  <c r="M105" i="8"/>
  <c r="O104" i="8"/>
  <c r="M104" i="8"/>
  <c r="O103" i="8"/>
  <c r="M103" i="8"/>
  <c r="O102" i="8"/>
  <c r="M102" i="8"/>
  <c r="O101" i="8"/>
  <c r="M101" i="8"/>
  <c r="O100" i="8"/>
  <c r="M100" i="8"/>
  <c r="O99" i="8"/>
  <c r="M99" i="8"/>
  <c r="O45" i="7"/>
  <c r="M45" i="7"/>
  <c r="O44" i="7"/>
  <c r="M44" i="7"/>
  <c r="O43" i="7"/>
  <c r="M43" i="7"/>
  <c r="O42" i="7"/>
  <c r="M42" i="7"/>
  <c r="O41" i="7"/>
  <c r="M41" i="7"/>
  <c r="O40" i="7"/>
  <c r="M40" i="7"/>
  <c r="O39" i="7"/>
  <c r="M39" i="7"/>
  <c r="O38" i="7"/>
  <c r="M38" i="7"/>
  <c r="O78" i="6"/>
  <c r="M78" i="6"/>
  <c r="J78" i="6"/>
  <c r="K78" i="6" s="1"/>
  <c r="O77" i="6"/>
  <c r="M77" i="6"/>
  <c r="J77" i="6"/>
  <c r="K77" i="6" s="1"/>
  <c r="O76" i="6"/>
  <c r="M76" i="6"/>
  <c r="J76" i="6"/>
  <c r="K76" i="6" s="1"/>
  <c r="O75" i="6"/>
  <c r="M75" i="6"/>
  <c r="J75" i="6"/>
  <c r="K75" i="6" s="1"/>
  <c r="K90" i="6"/>
  <c r="K89" i="6"/>
  <c r="K88" i="6"/>
  <c r="K73" i="4"/>
  <c r="K72" i="4"/>
  <c r="K71" i="4"/>
  <c r="O61" i="4"/>
  <c r="M61" i="4"/>
  <c r="J61" i="4"/>
  <c r="O60" i="4"/>
  <c r="M60" i="4"/>
  <c r="J60" i="4"/>
  <c r="K60" i="4" s="1"/>
  <c r="O59" i="4"/>
  <c r="M59" i="4"/>
  <c r="J59" i="4"/>
  <c r="K59" i="4" s="1"/>
  <c r="O58" i="4"/>
  <c r="M58" i="4"/>
  <c r="J58" i="4"/>
  <c r="K58" i="4" s="1"/>
  <c r="O57" i="4"/>
  <c r="M57" i="4"/>
  <c r="J57" i="4"/>
  <c r="K57" i="4" s="1"/>
  <c r="O56" i="4"/>
  <c r="M56" i="4"/>
  <c r="J56" i="4"/>
  <c r="K56" i="4" s="1"/>
  <c r="O78" i="8"/>
  <c r="M78" i="8"/>
  <c r="J78" i="8"/>
  <c r="K78" i="8" s="1"/>
  <c r="O34" i="13"/>
  <c r="M34" i="13"/>
  <c r="J34" i="13"/>
  <c r="K34" i="13" s="1"/>
  <c r="O33" i="13"/>
  <c r="M33" i="13"/>
  <c r="J33" i="13"/>
  <c r="K33" i="13" s="1"/>
  <c r="O32" i="13"/>
  <c r="M32" i="13"/>
  <c r="J32" i="13"/>
  <c r="K32" i="13" s="1"/>
  <c r="O31" i="13"/>
  <c r="M31" i="13"/>
  <c r="J31" i="13"/>
  <c r="K31" i="13" s="1"/>
  <c r="O7" i="13"/>
  <c r="M7" i="13"/>
  <c r="J7" i="13"/>
  <c r="O30" i="13"/>
  <c r="M30" i="13"/>
  <c r="J30" i="13"/>
  <c r="K30" i="13" s="1"/>
  <c r="O29" i="13"/>
  <c r="M29" i="13"/>
  <c r="J29" i="13"/>
  <c r="K29" i="13" s="1"/>
  <c r="O28" i="13"/>
  <c r="M28" i="13"/>
  <c r="J28" i="13"/>
  <c r="K28" i="13" s="1"/>
  <c r="O27" i="13"/>
  <c r="M27" i="13"/>
  <c r="J27" i="13"/>
  <c r="K27" i="13" s="1"/>
  <c r="O6" i="13"/>
  <c r="M6" i="13"/>
  <c r="J6" i="13"/>
  <c r="K6" i="13" s="1"/>
  <c r="O26" i="13"/>
  <c r="M26" i="13"/>
  <c r="J26" i="13"/>
  <c r="K26" i="13" s="1"/>
  <c r="O25" i="13"/>
  <c r="M25" i="13"/>
  <c r="J25" i="13"/>
  <c r="K25" i="13" s="1"/>
  <c r="O24" i="13"/>
  <c r="M24" i="13"/>
  <c r="J24" i="13"/>
  <c r="K24" i="13" s="1"/>
  <c r="O23" i="13"/>
  <c r="M23" i="13"/>
  <c r="J23" i="13"/>
  <c r="K23" i="13" s="1"/>
  <c r="O5" i="13"/>
  <c r="M5" i="13"/>
  <c r="J5" i="13"/>
  <c r="K5" i="13" s="1"/>
  <c r="K12" i="12" l="1"/>
  <c r="J12" i="12"/>
  <c r="J11" i="12"/>
  <c r="K11" i="12"/>
  <c r="I11" i="12"/>
  <c r="K7" i="13"/>
  <c r="G73" i="4"/>
  <c r="N61" i="4" s="1"/>
  <c r="K67" i="4"/>
  <c r="K61" i="4"/>
  <c r="K20" i="21"/>
  <c r="G19" i="21"/>
  <c r="N9" i="21" s="1"/>
  <c r="K14" i="21"/>
  <c r="G20" i="21"/>
  <c r="I20" i="21" s="1"/>
  <c r="K15" i="21"/>
  <c r="K7" i="21"/>
  <c r="G14" i="21" s="1"/>
  <c r="L7" i="21" s="1"/>
  <c r="K13" i="21"/>
  <c r="N7" i="21"/>
  <c r="J20" i="21"/>
  <c r="G15" i="21"/>
  <c r="K16" i="21"/>
  <c r="G13" i="21"/>
  <c r="L9" i="21" s="1"/>
  <c r="G21" i="21"/>
  <c r="O13" i="13"/>
  <c r="M13" i="13"/>
  <c r="J13" i="13"/>
  <c r="K13" i="13" s="1"/>
  <c r="O14" i="13"/>
  <c r="M14" i="13"/>
  <c r="J14" i="13"/>
  <c r="K14" i="13" s="1"/>
  <c r="O15" i="13"/>
  <c r="M15" i="13"/>
  <c r="J15" i="13"/>
  <c r="K15" i="13" s="1"/>
  <c r="O22" i="13"/>
  <c r="M22" i="13"/>
  <c r="J22" i="13"/>
  <c r="K22" i="13" s="1"/>
  <c r="E16" i="11"/>
  <c r="K121" i="8"/>
  <c r="K120" i="8"/>
  <c r="K119" i="8"/>
  <c r="K57" i="7"/>
  <c r="K56" i="7"/>
  <c r="K55" i="7"/>
  <c r="M32" i="7"/>
  <c r="E73" i="4"/>
  <c r="E72" i="4"/>
  <c r="E71" i="4"/>
  <c r="E67" i="4"/>
  <c r="E66" i="4"/>
  <c r="M20" i="4"/>
  <c r="O20" i="4"/>
  <c r="G67" i="4" l="1"/>
  <c r="L61" i="4" s="1"/>
  <c r="H20" i="21"/>
  <c r="I19" i="21"/>
  <c r="H19" i="21"/>
  <c r="J19" i="21"/>
  <c r="H14" i="21"/>
  <c r="J14" i="21"/>
  <c r="I14" i="21"/>
  <c r="H15" i="21"/>
  <c r="J15" i="21"/>
  <c r="I15" i="21"/>
  <c r="L8" i="21"/>
  <c r="N8" i="21"/>
  <c r="J13" i="21"/>
  <c r="I13" i="21"/>
  <c r="H13" i="21"/>
  <c r="H21" i="21"/>
  <c r="J21" i="21"/>
  <c r="I21" i="21"/>
  <c r="K20" i="4"/>
  <c r="J83" i="8"/>
  <c r="K83" i="8" s="1"/>
  <c r="M83" i="8"/>
  <c r="O83" i="8"/>
  <c r="J84" i="8"/>
  <c r="K84" i="8" s="1"/>
  <c r="M84" i="8"/>
  <c r="O84" i="8"/>
  <c r="J85" i="8"/>
  <c r="K85" i="8" s="1"/>
  <c r="M85" i="8"/>
  <c r="O85" i="8"/>
  <c r="F18" i="14" l="1"/>
  <c r="K24" i="11"/>
  <c r="K23" i="11"/>
  <c r="K22" i="11"/>
  <c r="K24" i="10"/>
  <c r="K23" i="10"/>
  <c r="K22" i="10"/>
  <c r="E16" i="10"/>
  <c r="O56" i="6"/>
  <c r="M56" i="6"/>
  <c r="J56" i="6"/>
  <c r="K56" i="6" s="1"/>
  <c r="J103" i="8"/>
  <c r="K103" i="8" s="1"/>
  <c r="J102" i="8"/>
  <c r="K102" i="8" s="1"/>
  <c r="M4" i="8"/>
  <c r="J4" i="8"/>
  <c r="K4" i="8" l="1"/>
  <c r="O12" i="13"/>
  <c r="M12" i="13"/>
  <c r="J12" i="13"/>
  <c r="K12" i="13" s="1"/>
  <c r="O11" i="13"/>
  <c r="M11" i="13"/>
  <c r="J11" i="13"/>
  <c r="K11" i="13" s="1"/>
  <c r="O52" i="4"/>
  <c r="M52" i="4"/>
  <c r="J52" i="4"/>
  <c r="K52" i="4" s="1"/>
  <c r="O40" i="4"/>
  <c r="M40" i="4"/>
  <c r="J40" i="4"/>
  <c r="K40" i="4" s="1"/>
  <c r="O54" i="4"/>
  <c r="M54" i="4"/>
  <c r="J54" i="4"/>
  <c r="K54" i="4" s="1"/>
  <c r="O39" i="4"/>
  <c r="M39" i="4"/>
  <c r="J39" i="4"/>
  <c r="K39" i="4" s="1"/>
  <c r="O38" i="4"/>
  <c r="M38" i="4"/>
  <c r="J38" i="4"/>
  <c r="K38" i="4" s="1"/>
  <c r="O37" i="4"/>
  <c r="M37" i="4"/>
  <c r="J37" i="4"/>
  <c r="K37" i="4" s="1"/>
  <c r="O53" i="4"/>
  <c r="M53" i="4"/>
  <c r="J53" i="4"/>
  <c r="K53" i="4" s="1"/>
  <c r="O36" i="4"/>
  <c r="M36" i="4"/>
  <c r="J36" i="4"/>
  <c r="K36" i="4" s="1"/>
  <c r="O35" i="4"/>
  <c r="M35" i="4"/>
  <c r="J35" i="4"/>
  <c r="K35" i="4" s="1"/>
  <c r="O34" i="4"/>
  <c r="M34" i="4"/>
  <c r="J34" i="4"/>
  <c r="K34" i="4" s="1"/>
  <c r="O49" i="4"/>
  <c r="M49" i="4"/>
  <c r="J49" i="4"/>
  <c r="K49" i="4" s="1"/>
  <c r="O48" i="4"/>
  <c r="M48" i="4"/>
  <c r="J48" i="4"/>
  <c r="K48" i="4" s="1"/>
  <c r="O47" i="4"/>
  <c r="M47" i="4"/>
  <c r="J47" i="4"/>
  <c r="K47" i="4" s="1"/>
  <c r="O41" i="4"/>
  <c r="M41" i="4"/>
  <c r="J41" i="4"/>
  <c r="K41" i="4" s="1"/>
  <c r="O45" i="4"/>
  <c r="M45" i="4"/>
  <c r="J45" i="4"/>
  <c r="K45" i="4" s="1"/>
  <c r="O46" i="4"/>
  <c r="M46" i="4"/>
  <c r="J46" i="4"/>
  <c r="K46" i="4" s="1"/>
  <c r="O43" i="4"/>
  <c r="M43" i="4"/>
  <c r="J43" i="4"/>
  <c r="K43" i="4" s="1"/>
  <c r="O42" i="4"/>
  <c r="M42" i="4"/>
  <c r="J42" i="4"/>
  <c r="K42" i="4" s="1"/>
  <c r="O44" i="4"/>
  <c r="M44" i="4"/>
  <c r="J44" i="4"/>
  <c r="K44" i="4" s="1"/>
  <c r="O7" i="4"/>
  <c r="M7" i="4"/>
  <c r="J7" i="4"/>
  <c r="K7" i="4" s="1"/>
  <c r="O6" i="4"/>
  <c r="M6" i="4"/>
  <c r="J6" i="4"/>
  <c r="K6" i="4" s="1"/>
  <c r="O5" i="4"/>
  <c r="M5" i="4"/>
  <c r="J5" i="4"/>
  <c r="K5" i="4" s="1"/>
  <c r="O4" i="4"/>
  <c r="M4" i="4"/>
  <c r="J4" i="4"/>
  <c r="O32" i="4"/>
  <c r="M32" i="4"/>
  <c r="J32" i="4"/>
  <c r="K32" i="4" s="1"/>
  <c r="O33" i="4"/>
  <c r="M33" i="4"/>
  <c r="G72" i="4" s="1"/>
  <c r="N60" i="4" s="1"/>
  <c r="J33" i="4"/>
  <c r="K66" i="4" s="1"/>
  <c r="O31" i="4"/>
  <c r="M31" i="4"/>
  <c r="J31" i="4"/>
  <c r="K31" i="4" s="1"/>
  <c r="O30" i="4"/>
  <c r="M30" i="4"/>
  <c r="J30" i="4"/>
  <c r="K30" i="4" s="1"/>
  <c r="O29" i="4"/>
  <c r="M29" i="4"/>
  <c r="J29" i="4"/>
  <c r="K29" i="4" s="1"/>
  <c r="O28" i="4"/>
  <c r="M28" i="4"/>
  <c r="J28" i="4"/>
  <c r="K28" i="4" s="1"/>
  <c r="O27" i="4"/>
  <c r="M27" i="4"/>
  <c r="J27" i="4"/>
  <c r="K27" i="4" s="1"/>
  <c r="O26" i="4"/>
  <c r="M26" i="4"/>
  <c r="J26" i="4"/>
  <c r="K26" i="4" s="1"/>
  <c r="O51" i="4"/>
  <c r="M51" i="4"/>
  <c r="J51" i="4"/>
  <c r="K51" i="4" s="1"/>
  <c r="O25" i="4"/>
  <c r="M25" i="4"/>
  <c r="J25" i="4"/>
  <c r="K25" i="4" s="1"/>
  <c r="O24" i="4"/>
  <c r="M24" i="4"/>
  <c r="J24" i="4"/>
  <c r="K24" i="4" s="1"/>
  <c r="O23" i="4"/>
  <c r="M23" i="4"/>
  <c r="J23" i="4"/>
  <c r="K23" i="4" s="1"/>
  <c r="O22" i="4"/>
  <c r="M22" i="4"/>
  <c r="J22" i="4"/>
  <c r="K22" i="4" s="1"/>
  <c r="O21" i="4"/>
  <c r="M21" i="4"/>
  <c r="J21" i="4"/>
  <c r="K21" i="4" s="1"/>
  <c r="O19" i="4"/>
  <c r="M19" i="4"/>
  <c r="J19" i="4"/>
  <c r="K19" i="4" s="1"/>
  <c r="O18" i="4"/>
  <c r="M18" i="4"/>
  <c r="J18" i="4"/>
  <c r="K18" i="4" s="1"/>
  <c r="O17" i="4"/>
  <c r="M17" i="4"/>
  <c r="J17" i="4"/>
  <c r="K17" i="4" s="1"/>
  <c r="O16" i="4"/>
  <c r="M16" i="4"/>
  <c r="J16" i="4"/>
  <c r="K16" i="4" s="1"/>
  <c r="O15" i="4"/>
  <c r="M15" i="4"/>
  <c r="J15" i="4"/>
  <c r="K15" i="4" s="1"/>
  <c r="O14" i="4"/>
  <c r="M14" i="4"/>
  <c r="J14" i="4"/>
  <c r="K14" i="4" s="1"/>
  <c r="O13" i="4"/>
  <c r="M13" i="4"/>
  <c r="J13" i="4"/>
  <c r="K13" i="4" s="1"/>
  <c r="O12" i="4"/>
  <c r="M12" i="4"/>
  <c r="J12" i="4"/>
  <c r="K12" i="4" s="1"/>
  <c r="O11" i="4"/>
  <c r="M11" i="4"/>
  <c r="J11" i="4"/>
  <c r="K11" i="4" s="1"/>
  <c r="O10" i="4"/>
  <c r="M10" i="4"/>
  <c r="J10" i="4"/>
  <c r="K10" i="4" s="1"/>
  <c r="O9" i="4"/>
  <c r="M9" i="4"/>
  <c r="J9" i="4"/>
  <c r="K9" i="4" s="1"/>
  <c r="O8" i="4"/>
  <c r="M8" i="4"/>
  <c r="J8" i="4"/>
  <c r="J73" i="4"/>
  <c r="J106" i="8"/>
  <c r="K106" i="8" s="1"/>
  <c r="J105" i="8"/>
  <c r="K105" i="8" s="1"/>
  <c r="J104" i="8"/>
  <c r="K104" i="8" s="1"/>
  <c r="O18" i="13"/>
  <c r="M18" i="13"/>
  <c r="J18" i="13"/>
  <c r="K18" i="13" s="1"/>
  <c r="O17" i="13"/>
  <c r="M17" i="13"/>
  <c r="J17" i="13"/>
  <c r="K17" i="13" s="1"/>
  <c r="O16" i="13"/>
  <c r="M16" i="13"/>
  <c r="J16" i="13"/>
  <c r="K16" i="13" s="1"/>
  <c r="O28" i="8"/>
  <c r="M28" i="8"/>
  <c r="J28" i="8"/>
  <c r="O27" i="8"/>
  <c r="M27" i="8"/>
  <c r="J27" i="8"/>
  <c r="O26" i="8"/>
  <c r="M26" i="8"/>
  <c r="J26" i="8"/>
  <c r="K26" i="8" s="1"/>
  <c r="O97" i="8"/>
  <c r="M97" i="8"/>
  <c r="J97" i="8"/>
  <c r="K97" i="8" s="1"/>
  <c r="O96" i="8"/>
  <c r="M96" i="8"/>
  <c r="J96" i="8"/>
  <c r="K96" i="8" s="1"/>
  <c r="O25" i="8"/>
  <c r="M25" i="8"/>
  <c r="J25" i="8"/>
  <c r="K25" i="8" s="1"/>
  <c r="O22" i="8"/>
  <c r="M22" i="8"/>
  <c r="J22" i="8"/>
  <c r="K22" i="8" s="1"/>
  <c r="O19" i="8"/>
  <c r="M19" i="8"/>
  <c r="J19" i="8"/>
  <c r="K19" i="8" s="1"/>
  <c r="O17" i="8"/>
  <c r="M17" i="8"/>
  <c r="J17" i="8"/>
  <c r="K17" i="8" s="1"/>
  <c r="O95" i="8"/>
  <c r="M95" i="8"/>
  <c r="J95" i="8"/>
  <c r="K95" i="8" s="1"/>
  <c r="O94" i="8"/>
  <c r="M94" i="8"/>
  <c r="J94" i="8"/>
  <c r="K94" i="8" s="1"/>
  <c r="O93" i="8"/>
  <c r="M93" i="8"/>
  <c r="J93" i="8"/>
  <c r="K93" i="8" s="1"/>
  <c r="O92" i="8"/>
  <c r="M92" i="8"/>
  <c r="J92" i="8"/>
  <c r="K92" i="8" s="1"/>
  <c r="O24" i="8"/>
  <c r="M24" i="8"/>
  <c r="J24" i="8"/>
  <c r="K24" i="8" s="1"/>
  <c r="O21" i="8"/>
  <c r="M21" i="8"/>
  <c r="J21" i="8"/>
  <c r="K21" i="8" s="1"/>
  <c r="O18" i="8"/>
  <c r="M18" i="8"/>
  <c r="J18" i="8"/>
  <c r="K18" i="8" s="1"/>
  <c r="O16" i="8"/>
  <c r="M16" i="8"/>
  <c r="J16" i="8"/>
  <c r="K16" i="8" s="1"/>
  <c r="O91" i="8"/>
  <c r="M91" i="8"/>
  <c r="J91" i="8"/>
  <c r="K91" i="8" s="1"/>
  <c r="O90" i="8"/>
  <c r="M90" i="8"/>
  <c r="J90" i="8"/>
  <c r="K90" i="8" s="1"/>
  <c r="O30" i="8"/>
  <c r="M30" i="8"/>
  <c r="J30" i="8"/>
  <c r="K30" i="8" s="1"/>
  <c r="O29" i="8"/>
  <c r="M29" i="8"/>
  <c r="J29" i="8"/>
  <c r="O88" i="8"/>
  <c r="M88" i="8"/>
  <c r="J88" i="8"/>
  <c r="K88" i="8" s="1"/>
  <c r="O23" i="8"/>
  <c r="M23" i="8"/>
  <c r="J23" i="8"/>
  <c r="K23" i="8" s="1"/>
  <c r="O20" i="8"/>
  <c r="M20" i="8"/>
  <c r="J20" i="8"/>
  <c r="K20" i="8" s="1"/>
  <c r="O87" i="8"/>
  <c r="M87" i="8"/>
  <c r="J87" i="8"/>
  <c r="K87" i="8" s="1"/>
  <c r="O15" i="8"/>
  <c r="M15" i="8"/>
  <c r="J15" i="8"/>
  <c r="K15" i="8" s="1"/>
  <c r="O86" i="8"/>
  <c r="M86" i="8"/>
  <c r="J86" i="8"/>
  <c r="K86" i="8" s="1"/>
  <c r="O14" i="8"/>
  <c r="M14" i="8"/>
  <c r="J14" i="8"/>
  <c r="K14" i="8" s="1"/>
  <c r="O82" i="8"/>
  <c r="M82" i="8"/>
  <c r="J82" i="8"/>
  <c r="K82" i="8" s="1"/>
  <c r="O10" i="13"/>
  <c r="M10" i="13"/>
  <c r="J10" i="13"/>
  <c r="O9" i="13"/>
  <c r="M9" i="13"/>
  <c r="J9" i="13"/>
  <c r="K9" i="13" s="1"/>
  <c r="O8" i="13"/>
  <c r="M8" i="13"/>
  <c r="J8" i="13"/>
  <c r="K8" i="13" s="1"/>
  <c r="O4" i="13"/>
  <c r="M4" i="13"/>
  <c r="J4" i="13"/>
  <c r="K38" i="13" s="1"/>
  <c r="G44" i="13" l="1"/>
  <c r="N28" i="13" s="1"/>
  <c r="K10" i="13"/>
  <c r="G39" i="13" s="1"/>
  <c r="K39" i="13"/>
  <c r="G71" i="4"/>
  <c r="K68" i="4"/>
  <c r="K65" i="4"/>
  <c r="K4" i="4"/>
  <c r="G45" i="13"/>
  <c r="K8" i="4"/>
  <c r="K33" i="4"/>
  <c r="G66" i="4" s="1"/>
  <c r="L60" i="4" s="1"/>
  <c r="K4" i="13"/>
  <c r="G38" i="13" s="1"/>
  <c r="H73" i="4"/>
  <c r="K29" i="8"/>
  <c r="K27" i="8"/>
  <c r="K28" i="8"/>
  <c r="I73" i="4"/>
  <c r="M3" i="15"/>
  <c r="L3" i="15"/>
  <c r="J3" i="15"/>
  <c r="K3" i="15" s="1"/>
  <c r="N27" i="13" l="1"/>
  <c r="N30" i="13"/>
  <c r="N6" i="13"/>
  <c r="N15" i="13"/>
  <c r="N29" i="13"/>
  <c r="G65" i="4"/>
  <c r="N56" i="4"/>
  <c r="N59" i="4"/>
  <c r="N57" i="4"/>
  <c r="N58" i="4"/>
  <c r="N7" i="13"/>
  <c r="N32" i="13"/>
  <c r="N33" i="13"/>
  <c r="N31" i="13"/>
  <c r="N34" i="13"/>
  <c r="L34" i="13"/>
  <c r="L32" i="13"/>
  <c r="L33" i="13"/>
  <c r="L31" i="13"/>
  <c r="L18" i="13"/>
  <c r="L7" i="13"/>
  <c r="L6" i="13"/>
  <c r="L29" i="13"/>
  <c r="L30" i="13"/>
  <c r="L28" i="13"/>
  <c r="L27" i="13"/>
  <c r="L17" i="13"/>
  <c r="L15" i="13"/>
  <c r="L12" i="13"/>
  <c r="M5" i="14"/>
  <c r="M7" i="14"/>
  <c r="J7" i="14"/>
  <c r="K7" i="14" s="1"/>
  <c r="J5" i="14"/>
  <c r="M4" i="14"/>
  <c r="J4" i="14"/>
  <c r="M3" i="14"/>
  <c r="J3" i="14"/>
  <c r="M6" i="14"/>
  <c r="J6" i="14"/>
  <c r="O3" i="13"/>
  <c r="M3" i="13"/>
  <c r="G43" i="13" s="1"/>
  <c r="J3" i="13"/>
  <c r="O8" i="11"/>
  <c r="M8" i="11"/>
  <c r="J8" i="11"/>
  <c r="K8" i="11" s="1"/>
  <c r="O7" i="11"/>
  <c r="M7" i="11"/>
  <c r="J7" i="11"/>
  <c r="O6" i="11"/>
  <c r="M6" i="11"/>
  <c r="J6" i="11"/>
  <c r="K6" i="11" s="1"/>
  <c r="O5" i="11"/>
  <c r="M5" i="11"/>
  <c r="J5" i="11"/>
  <c r="K5" i="11" s="1"/>
  <c r="G17" i="11" s="1"/>
  <c r="O4" i="11"/>
  <c r="M4" i="11"/>
  <c r="J4" i="11"/>
  <c r="K4" i="11" s="1"/>
  <c r="O3" i="11"/>
  <c r="M3" i="11"/>
  <c r="J3" i="11"/>
  <c r="K3" i="11" s="1"/>
  <c r="G18" i="11" s="1"/>
  <c r="O8" i="10"/>
  <c r="M8" i="10"/>
  <c r="J8" i="10"/>
  <c r="K8" i="10" s="1"/>
  <c r="O7" i="10"/>
  <c r="M7" i="10"/>
  <c r="J7" i="10"/>
  <c r="K7" i="10" s="1"/>
  <c r="O6" i="10"/>
  <c r="M6" i="10"/>
  <c r="J6" i="10"/>
  <c r="K6" i="10" s="1"/>
  <c r="O5" i="10"/>
  <c r="M5" i="10"/>
  <c r="G22" i="10" s="1"/>
  <c r="J5" i="10"/>
  <c r="O4" i="10"/>
  <c r="M4" i="10"/>
  <c r="J4" i="10"/>
  <c r="O3" i="10"/>
  <c r="M3" i="10"/>
  <c r="J3" i="10"/>
  <c r="K3" i="10" s="1"/>
  <c r="O20" i="9"/>
  <c r="M20" i="9"/>
  <c r="J20" i="9"/>
  <c r="K20" i="9" s="1"/>
  <c r="O19" i="9"/>
  <c r="M19" i="9"/>
  <c r="J19" i="9"/>
  <c r="K19" i="9" s="1"/>
  <c r="O18" i="9"/>
  <c r="M18" i="9"/>
  <c r="J18" i="9"/>
  <c r="K18" i="9" s="1"/>
  <c r="O11" i="9"/>
  <c r="M11" i="9"/>
  <c r="J11" i="9"/>
  <c r="K11" i="9" s="1"/>
  <c r="O10" i="9"/>
  <c r="M10" i="9"/>
  <c r="J10" i="9"/>
  <c r="K10" i="9" s="1"/>
  <c r="O9" i="9"/>
  <c r="M9" i="9"/>
  <c r="J9" i="9"/>
  <c r="K9" i="9" s="1"/>
  <c r="O8" i="9"/>
  <c r="M8" i="9"/>
  <c r="J8" i="9"/>
  <c r="K8" i="9" s="1"/>
  <c r="O7" i="9"/>
  <c r="M7" i="9"/>
  <c r="J7" i="9"/>
  <c r="K7" i="9" s="1"/>
  <c r="O6" i="9"/>
  <c r="M6" i="9"/>
  <c r="J6" i="9"/>
  <c r="K6" i="9" s="1"/>
  <c r="O17" i="9"/>
  <c r="M17" i="9"/>
  <c r="J17" i="9"/>
  <c r="K17" i="9" s="1"/>
  <c r="O16" i="9"/>
  <c r="M16" i="9"/>
  <c r="J16" i="9"/>
  <c r="K16" i="9" s="1"/>
  <c r="O15" i="9"/>
  <c r="M15" i="9"/>
  <c r="J15" i="9"/>
  <c r="K15" i="9" s="1"/>
  <c r="O5" i="9"/>
  <c r="M5" i="9"/>
  <c r="J5" i="9"/>
  <c r="K5" i="9" s="1"/>
  <c r="O4" i="9"/>
  <c r="M4" i="9"/>
  <c r="J4" i="9"/>
  <c r="K4" i="9" s="1"/>
  <c r="G26" i="9" s="1"/>
  <c r="O3" i="9"/>
  <c r="M3" i="9"/>
  <c r="J3" i="9"/>
  <c r="O79" i="8"/>
  <c r="M79" i="8"/>
  <c r="J79" i="8"/>
  <c r="K79" i="8" s="1"/>
  <c r="O80" i="8"/>
  <c r="M80" i="8"/>
  <c r="J80" i="8"/>
  <c r="K80" i="8" s="1"/>
  <c r="O77" i="8"/>
  <c r="M77" i="8"/>
  <c r="J77" i="8"/>
  <c r="K77" i="8" s="1"/>
  <c r="O76" i="8"/>
  <c r="M76" i="8"/>
  <c r="J76" i="8"/>
  <c r="K76" i="8" s="1"/>
  <c r="J107" i="8"/>
  <c r="K107" i="8" s="1"/>
  <c r="J109" i="8"/>
  <c r="K109" i="8" s="1"/>
  <c r="J108" i="8"/>
  <c r="K108" i="8" s="1"/>
  <c r="O73" i="8"/>
  <c r="M73" i="8"/>
  <c r="J73" i="8"/>
  <c r="K73" i="8" s="1"/>
  <c r="O75" i="8"/>
  <c r="M75" i="8"/>
  <c r="J75" i="8"/>
  <c r="K75" i="8" s="1"/>
  <c r="O74" i="8"/>
  <c r="M74" i="8"/>
  <c r="J74" i="8"/>
  <c r="K74" i="8" s="1"/>
  <c r="O70" i="8"/>
  <c r="M70" i="8"/>
  <c r="J70" i="8"/>
  <c r="K70" i="8" s="1"/>
  <c r="O72" i="8"/>
  <c r="M72" i="8"/>
  <c r="J72" i="8"/>
  <c r="K72" i="8" s="1"/>
  <c r="O71" i="8"/>
  <c r="M71" i="8"/>
  <c r="J71" i="8"/>
  <c r="K71" i="8" s="1"/>
  <c r="O67" i="8"/>
  <c r="M67" i="8"/>
  <c r="J67" i="8"/>
  <c r="K67" i="8" s="1"/>
  <c r="O69" i="8"/>
  <c r="M69" i="8"/>
  <c r="J69" i="8"/>
  <c r="K69" i="8" s="1"/>
  <c r="O68" i="8"/>
  <c r="M68" i="8"/>
  <c r="J68" i="8"/>
  <c r="K68" i="8" s="1"/>
  <c r="O64" i="8"/>
  <c r="M64" i="8"/>
  <c r="J64" i="8"/>
  <c r="K64" i="8" s="1"/>
  <c r="O66" i="8"/>
  <c r="M66" i="8"/>
  <c r="J66" i="8"/>
  <c r="K66" i="8" s="1"/>
  <c r="O65" i="8"/>
  <c r="M65" i="8"/>
  <c r="J65" i="8"/>
  <c r="K65" i="8" s="1"/>
  <c r="O63" i="8"/>
  <c r="M63" i="8"/>
  <c r="J63" i="8"/>
  <c r="K63" i="8" s="1"/>
  <c r="O60" i="8"/>
  <c r="M60" i="8"/>
  <c r="J60" i="8"/>
  <c r="K60" i="8" s="1"/>
  <c r="O62" i="8"/>
  <c r="M62" i="8"/>
  <c r="J62" i="8"/>
  <c r="K62" i="8" s="1"/>
  <c r="O61" i="8"/>
  <c r="M61" i="8"/>
  <c r="J61" i="8"/>
  <c r="K61" i="8" s="1"/>
  <c r="O59" i="8"/>
  <c r="M59" i="8"/>
  <c r="J59" i="8"/>
  <c r="K59" i="8" s="1"/>
  <c r="O56" i="8"/>
  <c r="M56" i="8"/>
  <c r="J56" i="8"/>
  <c r="O58" i="8"/>
  <c r="M58" i="8"/>
  <c r="J58" i="8"/>
  <c r="K58" i="8" s="1"/>
  <c r="O57" i="8"/>
  <c r="M57" i="8"/>
  <c r="J57" i="8"/>
  <c r="K57" i="8" s="1"/>
  <c r="O54" i="8"/>
  <c r="M54" i="8"/>
  <c r="J54" i="8"/>
  <c r="K54" i="8" s="1"/>
  <c r="O55" i="8"/>
  <c r="M55" i="8"/>
  <c r="J55" i="8"/>
  <c r="K55" i="8" s="1"/>
  <c r="O51" i="8"/>
  <c r="M51" i="8"/>
  <c r="J51" i="8"/>
  <c r="K51" i="8" s="1"/>
  <c r="O53" i="8"/>
  <c r="M53" i="8"/>
  <c r="J53" i="8"/>
  <c r="K53" i="8" s="1"/>
  <c r="O52" i="8"/>
  <c r="M52" i="8"/>
  <c r="J52" i="8"/>
  <c r="K52" i="8" s="1"/>
  <c r="O48" i="8"/>
  <c r="M48" i="8"/>
  <c r="J48" i="8"/>
  <c r="K48" i="8" s="1"/>
  <c r="O50" i="8"/>
  <c r="M50" i="8"/>
  <c r="J50" i="8"/>
  <c r="K50" i="8" s="1"/>
  <c r="O49" i="8"/>
  <c r="M49" i="8"/>
  <c r="J49" i="8"/>
  <c r="K49" i="8" s="1"/>
  <c r="O47" i="8"/>
  <c r="M47" i="8"/>
  <c r="J47" i="8"/>
  <c r="K47" i="8" s="1"/>
  <c r="O44" i="8"/>
  <c r="M44" i="8"/>
  <c r="J44" i="8"/>
  <c r="K44" i="8" s="1"/>
  <c r="O46" i="8"/>
  <c r="M46" i="8"/>
  <c r="J46" i="8"/>
  <c r="K46" i="8" s="1"/>
  <c r="O45" i="8"/>
  <c r="M45" i="8"/>
  <c r="J45" i="8"/>
  <c r="K45" i="8" s="1"/>
  <c r="O41" i="8"/>
  <c r="M41" i="8"/>
  <c r="J41" i="8"/>
  <c r="K41" i="8" s="1"/>
  <c r="O43" i="8"/>
  <c r="M43" i="8"/>
  <c r="J43" i="8"/>
  <c r="K43" i="8" s="1"/>
  <c r="O42" i="8"/>
  <c r="M42" i="8"/>
  <c r="J42" i="8"/>
  <c r="K42" i="8" s="1"/>
  <c r="O38" i="8"/>
  <c r="M38" i="8"/>
  <c r="J38" i="8"/>
  <c r="K38" i="8" s="1"/>
  <c r="O40" i="8"/>
  <c r="M40" i="8"/>
  <c r="J40" i="8"/>
  <c r="K40" i="8" s="1"/>
  <c r="O39" i="8"/>
  <c r="M39" i="8"/>
  <c r="J39" i="8"/>
  <c r="K39" i="8" s="1"/>
  <c r="O37" i="8"/>
  <c r="M37" i="8"/>
  <c r="J37" i="8"/>
  <c r="K37" i="8" s="1"/>
  <c r="O34" i="8"/>
  <c r="M34" i="8"/>
  <c r="J34" i="8"/>
  <c r="K34" i="8" s="1"/>
  <c r="O36" i="8"/>
  <c r="M36" i="8"/>
  <c r="J36" i="8"/>
  <c r="K36" i="8" s="1"/>
  <c r="O35" i="8"/>
  <c r="M35" i="8"/>
  <c r="J35" i="8"/>
  <c r="K35" i="8" s="1"/>
  <c r="O31" i="8"/>
  <c r="M31" i="8"/>
  <c r="J31" i="8"/>
  <c r="K31" i="8" s="1"/>
  <c r="O33" i="8"/>
  <c r="M33" i="8"/>
  <c r="J33" i="8"/>
  <c r="O32" i="8"/>
  <c r="M32" i="8"/>
  <c r="J32" i="8"/>
  <c r="O89" i="8"/>
  <c r="M89" i="8"/>
  <c r="J89" i="8"/>
  <c r="J99" i="8"/>
  <c r="K99" i="8" s="1"/>
  <c r="J101" i="8"/>
  <c r="K101" i="8" s="1"/>
  <c r="J100" i="8"/>
  <c r="K100" i="8" s="1"/>
  <c r="O11" i="8"/>
  <c r="M11" i="8"/>
  <c r="J11" i="8"/>
  <c r="K11" i="8" s="1"/>
  <c r="O13" i="8"/>
  <c r="M13" i="8"/>
  <c r="G121" i="8" s="1"/>
  <c r="J13" i="8"/>
  <c r="O12" i="8"/>
  <c r="M12" i="8"/>
  <c r="J12" i="8"/>
  <c r="K12" i="8" s="1"/>
  <c r="O9" i="8"/>
  <c r="M9" i="8"/>
  <c r="J9" i="8"/>
  <c r="K9" i="8" s="1"/>
  <c r="O10" i="8"/>
  <c r="M10" i="8"/>
  <c r="J10" i="8"/>
  <c r="K10" i="8" s="1"/>
  <c r="O7" i="8"/>
  <c r="M7" i="8"/>
  <c r="J7" i="8"/>
  <c r="K7" i="8" s="1"/>
  <c r="O8" i="8"/>
  <c r="M8" i="8"/>
  <c r="J8" i="8"/>
  <c r="K8" i="8" s="1"/>
  <c r="O5" i="8"/>
  <c r="M5" i="8"/>
  <c r="J5" i="8"/>
  <c r="K5" i="8" s="1"/>
  <c r="O6" i="8"/>
  <c r="M6" i="8"/>
  <c r="G120" i="8" s="1"/>
  <c r="J6" i="8"/>
  <c r="O3" i="8"/>
  <c r="M3" i="8"/>
  <c r="G119" i="8" s="1"/>
  <c r="J3" i="8"/>
  <c r="O4" i="8"/>
  <c r="J5" i="7"/>
  <c r="M5" i="7"/>
  <c r="O5" i="7"/>
  <c r="J3" i="7"/>
  <c r="M3" i="7"/>
  <c r="O3" i="7"/>
  <c r="J7" i="7"/>
  <c r="K7" i="7" s="1"/>
  <c r="M7" i="7"/>
  <c r="O7" i="7"/>
  <c r="J8" i="7"/>
  <c r="K8" i="7" s="1"/>
  <c r="M8" i="7"/>
  <c r="O8" i="7"/>
  <c r="J6" i="7"/>
  <c r="K6" i="7" s="1"/>
  <c r="M6" i="7"/>
  <c r="O6" i="7"/>
  <c r="J43" i="7"/>
  <c r="K43" i="7" s="1"/>
  <c r="J44" i="7"/>
  <c r="K44" i="7" s="1"/>
  <c r="J45" i="7"/>
  <c r="K45" i="7" s="1"/>
  <c r="J10" i="7"/>
  <c r="K10" i="7" s="1"/>
  <c r="M10" i="7"/>
  <c r="O10" i="7"/>
  <c r="J11" i="7"/>
  <c r="K11" i="7" s="1"/>
  <c r="M11" i="7"/>
  <c r="O11" i="7"/>
  <c r="J9" i="7"/>
  <c r="K9" i="7" s="1"/>
  <c r="M9" i="7"/>
  <c r="O9" i="7"/>
  <c r="J13" i="7"/>
  <c r="K13" i="7" s="1"/>
  <c r="M13" i="7"/>
  <c r="O13" i="7"/>
  <c r="J14" i="7"/>
  <c r="K14" i="7" s="1"/>
  <c r="M14" i="7"/>
  <c r="O14" i="7"/>
  <c r="J12" i="7"/>
  <c r="K12" i="7" s="1"/>
  <c r="M12" i="7"/>
  <c r="O12" i="7"/>
  <c r="J16" i="7"/>
  <c r="K16" i="7" s="1"/>
  <c r="M16" i="7"/>
  <c r="O16" i="7"/>
  <c r="J15" i="7"/>
  <c r="K15" i="7" s="1"/>
  <c r="M15" i="7"/>
  <c r="O15" i="7"/>
  <c r="J40" i="7"/>
  <c r="K40" i="7" s="1"/>
  <c r="J41" i="7"/>
  <c r="K41" i="7" s="1"/>
  <c r="J42" i="7"/>
  <c r="K42" i="7" s="1"/>
  <c r="J18" i="7"/>
  <c r="K18" i="7" s="1"/>
  <c r="M18" i="7"/>
  <c r="O18" i="7"/>
  <c r="J19" i="7"/>
  <c r="K19" i="7" s="1"/>
  <c r="M19" i="7"/>
  <c r="O19" i="7"/>
  <c r="J17" i="7"/>
  <c r="K17" i="7" s="1"/>
  <c r="M17" i="7"/>
  <c r="O17" i="7"/>
  <c r="J21" i="7"/>
  <c r="K21" i="7" s="1"/>
  <c r="M21" i="7"/>
  <c r="O21" i="7"/>
  <c r="J22" i="7"/>
  <c r="K22" i="7" s="1"/>
  <c r="M22" i="7"/>
  <c r="O22" i="7"/>
  <c r="J20" i="7"/>
  <c r="K20" i="7" s="1"/>
  <c r="M20" i="7"/>
  <c r="O20" i="7"/>
  <c r="J24" i="7"/>
  <c r="K24" i="7" s="1"/>
  <c r="M24" i="7"/>
  <c r="O24" i="7"/>
  <c r="J25" i="7"/>
  <c r="K25" i="7" s="1"/>
  <c r="M25" i="7"/>
  <c r="O25" i="7"/>
  <c r="J23" i="7"/>
  <c r="K23" i="7" s="1"/>
  <c r="M23" i="7"/>
  <c r="O23" i="7"/>
  <c r="J27" i="7"/>
  <c r="K27" i="7" s="1"/>
  <c r="M27" i="7"/>
  <c r="O27" i="7"/>
  <c r="J28" i="7"/>
  <c r="K28" i="7" s="1"/>
  <c r="M28" i="7"/>
  <c r="O28" i="7"/>
  <c r="J26" i="7"/>
  <c r="K26" i="7" s="1"/>
  <c r="M26" i="7"/>
  <c r="O26" i="7"/>
  <c r="J30" i="7"/>
  <c r="K30" i="7" s="1"/>
  <c r="M30" i="7"/>
  <c r="O30" i="7"/>
  <c r="J31" i="7"/>
  <c r="K31" i="7" s="1"/>
  <c r="M31" i="7"/>
  <c r="O31" i="7"/>
  <c r="J29" i="7"/>
  <c r="K29" i="7" s="1"/>
  <c r="M29" i="7"/>
  <c r="O29" i="7"/>
  <c r="J33" i="7"/>
  <c r="K33" i="7" s="1"/>
  <c r="M33" i="7"/>
  <c r="O33" i="7"/>
  <c r="J34" i="7"/>
  <c r="K34" i="7" s="1"/>
  <c r="M34" i="7"/>
  <c r="O34" i="7"/>
  <c r="J32" i="7"/>
  <c r="K32" i="7" s="1"/>
  <c r="O32" i="7"/>
  <c r="J38" i="7"/>
  <c r="K38" i="7" s="1"/>
  <c r="J39" i="7"/>
  <c r="K39" i="7" s="1"/>
  <c r="O4" i="7"/>
  <c r="M4" i="7"/>
  <c r="G56" i="7" s="1"/>
  <c r="J4" i="7"/>
  <c r="K50" i="7" s="1"/>
  <c r="K113" i="8" l="1"/>
  <c r="K116" i="8"/>
  <c r="G32" i="9"/>
  <c r="K7" i="11"/>
  <c r="G16" i="11" s="1"/>
  <c r="L7" i="11" s="1"/>
  <c r="K16" i="11"/>
  <c r="G17" i="10"/>
  <c r="K5" i="10"/>
  <c r="G16" i="10" s="1"/>
  <c r="H16" i="10" s="1"/>
  <c r="K16" i="10"/>
  <c r="K4" i="10"/>
  <c r="G18" i="10" s="1"/>
  <c r="K18" i="10"/>
  <c r="K37" i="13"/>
  <c r="K40" i="13"/>
  <c r="G24" i="9"/>
  <c r="L8" i="9" s="1"/>
  <c r="G57" i="7"/>
  <c r="K3" i="9"/>
  <c r="G25" i="9" s="1"/>
  <c r="K27" i="9"/>
  <c r="N106" i="8"/>
  <c r="N103" i="8"/>
  <c r="N109" i="8"/>
  <c r="N101" i="8"/>
  <c r="N105" i="8"/>
  <c r="N108" i="8"/>
  <c r="N100" i="8"/>
  <c r="N102" i="8"/>
  <c r="N104" i="8"/>
  <c r="N99" i="8"/>
  <c r="N107" i="8"/>
  <c r="K49" i="7"/>
  <c r="K52" i="7"/>
  <c r="G55" i="7"/>
  <c r="N40" i="7"/>
  <c r="N43" i="7"/>
  <c r="N38" i="7"/>
  <c r="K4" i="14"/>
  <c r="K3" i="14"/>
  <c r="L4" i="4"/>
  <c r="L57" i="4"/>
  <c r="L59" i="4"/>
  <c r="L56" i="4"/>
  <c r="L58" i="4"/>
  <c r="L20" i="4"/>
  <c r="N78" i="8"/>
  <c r="K114" i="8"/>
  <c r="K115" i="8"/>
  <c r="K51" i="7"/>
  <c r="N24" i="13"/>
  <c r="N25" i="13"/>
  <c r="N23" i="13"/>
  <c r="N26" i="13"/>
  <c r="N13" i="13"/>
  <c r="N5" i="13"/>
  <c r="N22" i="13"/>
  <c r="N14" i="13"/>
  <c r="G23" i="10"/>
  <c r="G24" i="10"/>
  <c r="G30" i="9"/>
  <c r="K5" i="7"/>
  <c r="G51" i="7" s="1"/>
  <c r="K4" i="7"/>
  <c r="G50" i="7" s="1"/>
  <c r="K3" i="7"/>
  <c r="G49" i="7" s="1"/>
  <c r="K3" i="13"/>
  <c r="G37" i="13" s="1"/>
  <c r="L22" i="13" s="1"/>
  <c r="K3" i="8"/>
  <c r="K13" i="8"/>
  <c r="K6" i="8"/>
  <c r="K6" i="14"/>
  <c r="K5" i="14"/>
  <c r="L5" i="14" s="1"/>
  <c r="L7" i="14"/>
  <c r="K32" i="8"/>
  <c r="K33" i="8"/>
  <c r="K89" i="8"/>
  <c r="K56" i="8"/>
  <c r="G114" i="8" l="1"/>
  <c r="G115" i="8"/>
  <c r="G113" i="8"/>
  <c r="N44" i="7"/>
  <c r="N41" i="7"/>
  <c r="N42" i="7"/>
  <c r="N45" i="7"/>
  <c r="N39" i="7"/>
  <c r="L41" i="7"/>
  <c r="L44" i="7"/>
  <c r="L38" i="7"/>
  <c r="L40" i="7"/>
  <c r="L43" i="7"/>
  <c r="L39" i="7"/>
  <c r="L42" i="7"/>
  <c r="L45" i="7"/>
  <c r="L6" i="14"/>
  <c r="L24" i="13"/>
  <c r="L25" i="13"/>
  <c r="L26" i="13"/>
  <c r="L23" i="13"/>
  <c r="L13" i="13"/>
  <c r="L5" i="13"/>
  <c r="L14" i="13"/>
  <c r="N84" i="8"/>
  <c r="N83" i="8"/>
  <c r="N85" i="8"/>
  <c r="L4" i="7"/>
  <c r="L3" i="7"/>
  <c r="L5" i="7"/>
  <c r="L6" i="11"/>
  <c r="L5" i="11"/>
  <c r="L8" i="11"/>
  <c r="L4" i="11"/>
  <c r="L20" i="9"/>
  <c r="L5" i="9"/>
  <c r="L11" i="9"/>
  <c r="L17" i="9"/>
  <c r="O66" i="6"/>
  <c r="M66" i="6"/>
  <c r="J66" i="6"/>
  <c r="K66" i="6" s="1"/>
  <c r="O65" i="6"/>
  <c r="M65" i="6"/>
  <c r="J65" i="6"/>
  <c r="K65" i="6" s="1"/>
  <c r="O64" i="6"/>
  <c r="M64" i="6"/>
  <c r="J64" i="6"/>
  <c r="K64" i="6" s="1"/>
  <c r="O63" i="6"/>
  <c r="M63" i="6"/>
  <c r="J63" i="6"/>
  <c r="K63" i="6" s="1"/>
  <c r="O62" i="6"/>
  <c r="M62" i="6"/>
  <c r="J62" i="6"/>
  <c r="K62" i="6" s="1"/>
  <c r="O61" i="6"/>
  <c r="M61" i="6"/>
  <c r="J61" i="6"/>
  <c r="K61" i="6" s="1"/>
  <c r="O60" i="6"/>
  <c r="M60" i="6"/>
  <c r="J60" i="6"/>
  <c r="K60" i="6" s="1"/>
  <c r="O59" i="6"/>
  <c r="M59" i="6"/>
  <c r="J59" i="6"/>
  <c r="K59" i="6" s="1"/>
  <c r="O58" i="6"/>
  <c r="M58" i="6"/>
  <c r="J58" i="6"/>
  <c r="K58" i="6" s="1"/>
  <c r="O57" i="6"/>
  <c r="M57" i="6"/>
  <c r="J57" i="6"/>
  <c r="K57" i="6" s="1"/>
  <c r="O55" i="6"/>
  <c r="M55" i="6"/>
  <c r="J55" i="6"/>
  <c r="K55" i="6" s="1"/>
  <c r="O54" i="6"/>
  <c r="M54" i="6"/>
  <c r="J54" i="6"/>
  <c r="K54" i="6" s="1"/>
  <c r="O53" i="6"/>
  <c r="M53" i="6"/>
  <c r="J53" i="6"/>
  <c r="K53" i="6" s="1"/>
  <c r="O52" i="6"/>
  <c r="M52" i="6"/>
  <c r="J52" i="6"/>
  <c r="K52" i="6" s="1"/>
  <c r="O51" i="6"/>
  <c r="M51" i="6"/>
  <c r="J51" i="6"/>
  <c r="K51" i="6" s="1"/>
  <c r="O50" i="6"/>
  <c r="M50" i="6"/>
  <c r="J50" i="6"/>
  <c r="K50" i="6" s="1"/>
  <c r="O49" i="6"/>
  <c r="M49" i="6"/>
  <c r="J49" i="6"/>
  <c r="K49" i="6" s="1"/>
  <c r="O48" i="6"/>
  <c r="M48" i="6"/>
  <c r="J48" i="6"/>
  <c r="K48" i="6" s="1"/>
  <c r="O47" i="6"/>
  <c r="M47" i="6"/>
  <c r="J47" i="6"/>
  <c r="K47" i="6" s="1"/>
  <c r="O46" i="6"/>
  <c r="M46" i="6"/>
  <c r="J46" i="6"/>
  <c r="K46" i="6" s="1"/>
  <c r="O45" i="6"/>
  <c r="M45" i="6"/>
  <c r="J45" i="6"/>
  <c r="K45" i="6" s="1"/>
  <c r="O44" i="6"/>
  <c r="M44" i="6"/>
  <c r="J44" i="6"/>
  <c r="K44" i="6" s="1"/>
  <c r="O43" i="6"/>
  <c r="M43" i="6"/>
  <c r="J43" i="6"/>
  <c r="K43" i="6" s="1"/>
  <c r="O42" i="6"/>
  <c r="M42" i="6"/>
  <c r="J42" i="6"/>
  <c r="K42" i="6" s="1"/>
  <c r="O41" i="6"/>
  <c r="M41" i="6"/>
  <c r="J41" i="6"/>
  <c r="K41" i="6" s="1"/>
  <c r="O40" i="6"/>
  <c r="M40" i="6"/>
  <c r="J40" i="6"/>
  <c r="K40" i="6" s="1"/>
  <c r="O39" i="6"/>
  <c r="M39" i="6"/>
  <c r="J39" i="6"/>
  <c r="K39" i="6" s="1"/>
  <c r="O38" i="6"/>
  <c r="M38" i="6"/>
  <c r="J38" i="6"/>
  <c r="K38" i="6" s="1"/>
  <c r="O37" i="6"/>
  <c r="M37" i="6"/>
  <c r="J37" i="6"/>
  <c r="K37" i="6" s="1"/>
  <c r="O36" i="6"/>
  <c r="M36" i="6"/>
  <c r="J36" i="6"/>
  <c r="K36" i="6" s="1"/>
  <c r="O35" i="6"/>
  <c r="M35" i="6"/>
  <c r="J35" i="6"/>
  <c r="K35" i="6" s="1"/>
  <c r="O34" i="6"/>
  <c r="M34" i="6"/>
  <c r="J34" i="6"/>
  <c r="K34" i="6" s="1"/>
  <c r="O33" i="6"/>
  <c r="M33" i="6"/>
  <c r="J33" i="6"/>
  <c r="K33" i="6" s="1"/>
  <c r="O70" i="6"/>
  <c r="M70" i="6"/>
  <c r="J70" i="6"/>
  <c r="K70" i="6" s="1"/>
  <c r="O69" i="6"/>
  <c r="M69" i="6"/>
  <c r="J69" i="6"/>
  <c r="K69" i="6" s="1"/>
  <c r="O68" i="6"/>
  <c r="M68" i="6"/>
  <c r="J68" i="6"/>
  <c r="K68" i="6" s="1"/>
  <c r="O32" i="6"/>
  <c r="M32" i="6"/>
  <c r="J32" i="6"/>
  <c r="K32" i="6" s="1"/>
  <c r="O31" i="6"/>
  <c r="M31" i="6"/>
  <c r="J31" i="6"/>
  <c r="K31" i="6" s="1"/>
  <c r="O30" i="6"/>
  <c r="M30" i="6"/>
  <c r="J30" i="6"/>
  <c r="K30" i="6" s="1"/>
  <c r="O29" i="6"/>
  <c r="M29" i="6"/>
  <c r="J29" i="6"/>
  <c r="K29" i="6" s="1"/>
  <c r="O28" i="6"/>
  <c r="M28" i="6"/>
  <c r="J28" i="6"/>
  <c r="K28" i="6" s="1"/>
  <c r="O27" i="6"/>
  <c r="M27" i="6"/>
  <c r="J27" i="6"/>
  <c r="O26" i="6"/>
  <c r="M26" i="6"/>
  <c r="J26" i="6"/>
  <c r="K26" i="6" s="1"/>
  <c r="O25" i="6"/>
  <c r="M25" i="6"/>
  <c r="J25" i="6"/>
  <c r="K25" i="6" s="1"/>
  <c r="O24" i="6"/>
  <c r="M24" i="6"/>
  <c r="J24" i="6"/>
  <c r="K24" i="6" s="1"/>
  <c r="O23" i="6"/>
  <c r="M23" i="6"/>
  <c r="J23" i="6"/>
  <c r="K23" i="6" s="1"/>
  <c r="O22" i="6"/>
  <c r="M22" i="6"/>
  <c r="J22" i="6"/>
  <c r="K22" i="6" s="1"/>
  <c r="O21" i="6"/>
  <c r="M21" i="6"/>
  <c r="J21" i="6"/>
  <c r="K21" i="6" s="1"/>
  <c r="O20" i="6"/>
  <c r="M20" i="6"/>
  <c r="J20" i="6"/>
  <c r="K20" i="6" s="1"/>
  <c r="O19" i="6"/>
  <c r="M19" i="6"/>
  <c r="J19" i="6"/>
  <c r="K19" i="6" s="1"/>
  <c r="O18" i="6"/>
  <c r="M18" i="6"/>
  <c r="J18" i="6"/>
  <c r="K18" i="6" s="1"/>
  <c r="O17" i="6"/>
  <c r="M17" i="6"/>
  <c r="J17" i="6"/>
  <c r="K17" i="6" s="1"/>
  <c r="O16" i="6"/>
  <c r="M16" i="6"/>
  <c r="J16" i="6"/>
  <c r="K16" i="6" s="1"/>
  <c r="O15" i="6"/>
  <c r="M15" i="6"/>
  <c r="J15" i="6"/>
  <c r="K15" i="6" s="1"/>
  <c r="O14" i="6"/>
  <c r="M14" i="6"/>
  <c r="J14" i="6"/>
  <c r="K14" i="6" s="1"/>
  <c r="O13" i="6"/>
  <c r="M13" i="6"/>
  <c r="J13" i="6"/>
  <c r="K13" i="6" s="1"/>
  <c r="O12" i="6"/>
  <c r="M12" i="6"/>
  <c r="J12" i="6"/>
  <c r="K12" i="6" s="1"/>
  <c r="O73" i="6"/>
  <c r="M73" i="6"/>
  <c r="J73" i="6"/>
  <c r="K73" i="6" s="1"/>
  <c r="O72" i="6"/>
  <c r="M72" i="6"/>
  <c r="J72" i="6"/>
  <c r="K72" i="6" s="1"/>
  <c r="O71" i="6"/>
  <c r="M71" i="6"/>
  <c r="J71" i="6"/>
  <c r="K71" i="6" s="1"/>
  <c r="O11" i="6"/>
  <c r="M11" i="6"/>
  <c r="J11" i="6"/>
  <c r="K11" i="6" s="1"/>
  <c r="O10" i="6"/>
  <c r="M10" i="6"/>
  <c r="J10" i="6"/>
  <c r="K10" i="6" s="1"/>
  <c r="O9" i="6"/>
  <c r="M9" i="6"/>
  <c r="J9" i="6"/>
  <c r="K9" i="6" s="1"/>
  <c r="O8" i="6"/>
  <c r="M8" i="6"/>
  <c r="J8" i="6"/>
  <c r="K8" i="6" s="1"/>
  <c r="O7" i="6"/>
  <c r="M7" i="6"/>
  <c r="J7" i="6"/>
  <c r="K7" i="6" s="1"/>
  <c r="O6" i="6"/>
  <c r="M6" i="6"/>
  <c r="J6" i="6"/>
  <c r="K6" i="6" s="1"/>
  <c r="O5" i="6"/>
  <c r="M5" i="6"/>
  <c r="J5" i="6"/>
  <c r="O4" i="6"/>
  <c r="M4" i="6"/>
  <c r="J4" i="6"/>
  <c r="O3" i="6"/>
  <c r="M3" i="6"/>
  <c r="J3" i="6"/>
  <c r="K83" i="6" s="1"/>
  <c r="L78" i="8" l="1"/>
  <c r="L105" i="8"/>
  <c r="L102" i="8"/>
  <c r="L108" i="8"/>
  <c r="L100" i="8"/>
  <c r="K84" i="6"/>
  <c r="K82" i="6"/>
  <c r="L101" i="8"/>
  <c r="L109" i="8"/>
  <c r="L106" i="8"/>
  <c r="L103" i="8"/>
  <c r="L99" i="8"/>
  <c r="L104" i="8"/>
  <c r="L107" i="8"/>
  <c r="K85" i="6"/>
  <c r="G90" i="6"/>
  <c r="G88" i="6"/>
  <c r="G89" i="6"/>
  <c r="L84" i="8"/>
  <c r="L85" i="8"/>
  <c r="L83" i="8"/>
  <c r="K4" i="6"/>
  <c r="G84" i="6" s="1"/>
  <c r="K5" i="6"/>
  <c r="G82" i="6" s="1"/>
  <c r="K3" i="6"/>
  <c r="L14" i="7"/>
  <c r="L19" i="7"/>
  <c r="L28" i="7"/>
  <c r="L25" i="7"/>
  <c r="L34" i="7"/>
  <c r="L11" i="7"/>
  <c r="L8" i="7"/>
  <c r="L22" i="7"/>
  <c r="L31" i="7"/>
  <c r="L17" i="7"/>
  <c r="L32" i="7"/>
  <c r="L6" i="7"/>
  <c r="L15" i="7"/>
  <c r="L12" i="7"/>
  <c r="L9" i="7"/>
  <c r="L29" i="7"/>
  <c r="L23" i="7"/>
  <c r="L26" i="7"/>
  <c r="L20" i="7"/>
  <c r="L16" i="7"/>
  <c r="L27" i="7"/>
  <c r="L21" i="7"/>
  <c r="L33" i="7"/>
  <c r="L18" i="7"/>
  <c r="L30" i="7"/>
  <c r="L24" i="7"/>
  <c r="L10" i="7"/>
  <c r="L7" i="7"/>
  <c r="L13" i="7"/>
  <c r="K27" i="6"/>
  <c r="G83" i="6" l="1"/>
  <c r="N16" i="6"/>
  <c r="N76" i="6"/>
  <c r="N78" i="6"/>
  <c r="N56" i="6"/>
  <c r="N77" i="6"/>
  <c r="L77" i="6"/>
  <c r="N75" i="6"/>
  <c r="N45" i="6"/>
  <c r="L58" i="6"/>
  <c r="L76" i="6"/>
  <c r="L78" i="6"/>
  <c r="L34" i="6"/>
  <c r="L61" i="6"/>
  <c r="H84" i="6"/>
  <c r="N11" i="6"/>
  <c r="N39" i="6"/>
  <c r="N59" i="6"/>
  <c r="N6" i="6"/>
  <c r="N44" i="6"/>
  <c r="N70" i="6"/>
  <c r="N36" i="6"/>
  <c r="N3" i="6"/>
  <c r="N26" i="6"/>
  <c r="N37" i="6"/>
  <c r="N65" i="6"/>
  <c r="N21" i="6"/>
  <c r="N14" i="6"/>
  <c r="N62" i="6"/>
  <c r="N68" i="6"/>
  <c r="N9" i="6"/>
  <c r="N48" i="6"/>
  <c r="N53" i="6"/>
  <c r="N30" i="6"/>
  <c r="N5" i="6"/>
  <c r="N29" i="6"/>
  <c r="N27" i="6"/>
  <c r="L7" i="6"/>
  <c r="N17" i="6"/>
  <c r="N15" i="6"/>
  <c r="L46" i="6"/>
  <c r="N63" i="6"/>
  <c r="N20" i="6"/>
  <c r="L16" i="6"/>
  <c r="N71" i="6"/>
  <c r="N73" i="6"/>
  <c r="N47" i="6"/>
  <c r="N54" i="6"/>
  <c r="N12" i="6"/>
  <c r="N32" i="6"/>
  <c r="H88" i="6"/>
  <c r="N51" i="6"/>
  <c r="N35" i="6"/>
  <c r="N66" i="6"/>
  <c r="N23" i="6"/>
  <c r="N40" i="6"/>
  <c r="N41" i="6"/>
  <c r="N60" i="6"/>
  <c r="N50" i="6"/>
  <c r="L22" i="6"/>
  <c r="L69" i="6"/>
  <c r="L19" i="6"/>
  <c r="L43" i="6"/>
  <c r="I82" i="6"/>
  <c r="L10" i="6"/>
  <c r="L55" i="6"/>
  <c r="N57" i="6"/>
  <c r="N42" i="6"/>
  <c r="L38" i="6"/>
  <c r="N18" i="6"/>
  <c r="L64" i="6"/>
  <c r="L13" i="6"/>
  <c r="L72" i="6"/>
  <c r="L25" i="6"/>
  <c r="L31" i="6"/>
  <c r="L49" i="6"/>
  <c r="L52" i="6"/>
  <c r="N24" i="6"/>
  <c r="L28" i="6"/>
  <c r="N8" i="6"/>
  <c r="N33" i="6"/>
  <c r="L4" i="6"/>
  <c r="N72" i="6"/>
  <c r="N38" i="6"/>
  <c r="N25" i="6"/>
  <c r="N4" i="6"/>
  <c r="N58" i="6"/>
  <c r="N43" i="6"/>
  <c r="N31" i="6"/>
  <c r="N10" i="6"/>
  <c r="N64" i="6"/>
  <c r="N55" i="6"/>
  <c r="N22" i="6"/>
  <c r="N61" i="6"/>
  <c r="N52" i="6"/>
  <c r="N19" i="6"/>
  <c r="N49" i="6"/>
  <c r="N34" i="6"/>
  <c r="N13" i="6"/>
  <c r="N28" i="6"/>
  <c r="N7" i="6"/>
  <c r="N69" i="6"/>
  <c r="N46" i="6"/>
  <c r="I88" i="6"/>
  <c r="I84" i="6"/>
  <c r="L75" i="6" l="1"/>
  <c r="L27" i="6"/>
  <c r="L56" i="6"/>
  <c r="L50" i="6"/>
  <c r="L44" i="6"/>
  <c r="L41" i="6"/>
  <c r="L17" i="6"/>
  <c r="L14" i="6"/>
  <c r="L62" i="6"/>
  <c r="L35" i="6"/>
  <c r="L11" i="6"/>
  <c r="L65" i="6"/>
  <c r="L59" i="6"/>
  <c r="L70" i="6"/>
  <c r="L39" i="6"/>
  <c r="L53" i="6"/>
  <c r="L47" i="6"/>
  <c r="L20" i="6"/>
  <c r="L73" i="6"/>
  <c r="L26" i="6"/>
  <c r="L36" i="6"/>
  <c r="L8" i="6"/>
  <c r="L23" i="6"/>
  <c r="L66" i="6"/>
  <c r="H82" i="6"/>
  <c r="L32" i="6"/>
  <c r="L29" i="6"/>
  <c r="L5" i="6"/>
  <c r="I83" i="6"/>
  <c r="L37" i="6"/>
  <c r="L24" i="6"/>
  <c r="L3" i="6"/>
  <c r="L57" i="6"/>
  <c r="L15" i="6"/>
  <c r="L30" i="6"/>
  <c r="L9" i="6"/>
  <c r="L42" i="6"/>
  <c r="L63" i="6"/>
  <c r="L54" i="6"/>
  <c r="L21" i="6"/>
  <c r="L60" i="6"/>
  <c r="L51" i="6"/>
  <c r="L18" i="6"/>
  <c r="L48" i="6"/>
  <c r="L33" i="6"/>
  <c r="L12" i="6"/>
  <c r="L40" i="6"/>
  <c r="L6" i="6"/>
  <c r="L45" i="6"/>
  <c r="L68" i="6"/>
  <c r="L71" i="6"/>
  <c r="H83" i="6"/>
  <c r="L10" i="13"/>
  <c r="L97" i="8" l="1"/>
  <c r="L40" i="8"/>
  <c r="L62" i="8"/>
  <c r="L95" i="8"/>
  <c r="L69" i="8"/>
  <c r="L94" i="8"/>
  <c r="L13" i="8"/>
  <c r="L28" i="8"/>
  <c r="L25" i="8"/>
  <c r="L46" i="8"/>
  <c r="L33" i="8"/>
  <c r="L72" i="8"/>
  <c r="L53" i="8"/>
  <c r="L22" i="8"/>
  <c r="L43" i="8"/>
  <c r="L75" i="8"/>
  <c r="L66" i="8"/>
  <c r="L96" i="8"/>
  <c r="L58" i="8"/>
  <c r="L17" i="8"/>
  <c r="L50" i="8"/>
  <c r="L36" i="8"/>
  <c r="L19" i="8"/>
  <c r="L4" i="8"/>
  <c r="L93" i="8"/>
  <c r="L24" i="8"/>
  <c r="L32" i="8"/>
  <c r="L55" i="8"/>
  <c r="L27" i="8"/>
  <c r="L91" i="8"/>
  <c r="L74" i="8"/>
  <c r="L16" i="8"/>
  <c r="L90" i="8"/>
  <c r="L68" i="8"/>
  <c r="L35" i="8"/>
  <c r="L52" i="8"/>
  <c r="L71" i="8"/>
  <c r="L49" i="8"/>
  <c r="L92" i="8"/>
  <c r="L39" i="8"/>
  <c r="L12" i="8"/>
  <c r="L8" i="8"/>
  <c r="L80" i="8"/>
  <c r="L61" i="8"/>
  <c r="L18" i="8"/>
  <c r="L10" i="8"/>
  <c r="L45" i="8"/>
  <c r="L65" i="8"/>
  <c r="L21" i="8"/>
  <c r="L42" i="8"/>
  <c r="L6" i="8"/>
  <c r="L57" i="8"/>
  <c r="J90" i="6"/>
  <c r="N4" i="8"/>
  <c r="N26" i="8" l="1"/>
  <c r="N28" i="8"/>
  <c r="N27" i="8"/>
  <c r="N33" i="4"/>
  <c r="N22" i="8"/>
  <c r="N25" i="8"/>
  <c r="N97" i="8"/>
  <c r="N96" i="8"/>
  <c r="N95" i="8"/>
  <c r="N19" i="8"/>
  <c r="N94" i="8"/>
  <c r="N17" i="8"/>
  <c r="N29" i="8"/>
  <c r="N30" i="8"/>
  <c r="N87" i="8"/>
  <c r="N88" i="8"/>
  <c r="N82" i="8"/>
  <c r="N86" i="8"/>
  <c r="N14" i="8"/>
  <c r="N20" i="8"/>
  <c r="N23" i="8"/>
  <c r="N15" i="8"/>
  <c r="N21" i="8"/>
  <c r="N18" i="8"/>
  <c r="N24" i="8"/>
  <c r="N90" i="8"/>
  <c r="N91" i="8"/>
  <c r="N93" i="8"/>
  <c r="N16" i="8"/>
  <c r="N92" i="8"/>
  <c r="N36" i="8"/>
  <c r="N72" i="8"/>
  <c r="N53" i="8"/>
  <c r="N62" i="8"/>
  <c r="N75" i="8"/>
  <c r="N58" i="8"/>
  <c r="N43" i="8"/>
  <c r="N13" i="8"/>
  <c r="N69" i="8"/>
  <c r="N50" i="8"/>
  <c r="N46" i="8"/>
  <c r="N66" i="8"/>
  <c r="N40" i="8"/>
  <c r="N33" i="8"/>
  <c r="N73" i="8"/>
  <c r="N5" i="8"/>
  <c r="N59" i="8"/>
  <c r="N41" i="8"/>
  <c r="N34" i="8"/>
  <c r="N47" i="8"/>
  <c r="N48" i="8"/>
  <c r="N51" i="8"/>
  <c r="N60" i="8"/>
  <c r="N77" i="8"/>
  <c r="N63" i="8"/>
  <c r="N54" i="8"/>
  <c r="N31" i="8"/>
  <c r="N56" i="8"/>
  <c r="N7" i="8"/>
  <c r="N38" i="8"/>
  <c r="N64" i="8"/>
  <c r="N9" i="8"/>
  <c r="N67" i="8"/>
  <c r="N76" i="8"/>
  <c r="N79" i="8"/>
  <c r="N89" i="8"/>
  <c r="N3" i="8"/>
  <c r="N11" i="8"/>
  <c r="N37" i="8"/>
  <c r="N44" i="8"/>
  <c r="N70" i="8"/>
  <c r="N52" i="8"/>
  <c r="N68" i="8"/>
  <c r="N80" i="8"/>
  <c r="N45" i="8"/>
  <c r="N42" i="8"/>
  <c r="N49" i="8"/>
  <c r="N71" i="8"/>
  <c r="N32" i="8"/>
  <c r="N35" i="8"/>
  <c r="N65" i="8"/>
  <c r="N74" i="8"/>
  <c r="N6" i="8"/>
  <c r="N39" i="8"/>
  <c r="N61" i="8"/>
  <c r="N12" i="8"/>
  <c r="N57" i="8"/>
  <c r="N55" i="8"/>
  <c r="N8" i="8"/>
  <c r="N10" i="8"/>
  <c r="J119" i="8"/>
  <c r="I90" i="6"/>
  <c r="H90" i="6"/>
  <c r="I89" i="6"/>
  <c r="H89" i="6"/>
  <c r="J89" i="6"/>
  <c r="J88" i="6"/>
  <c r="J72" i="4"/>
  <c r="I72" i="4"/>
  <c r="H72" i="4"/>
  <c r="H121" i="8"/>
  <c r="J120" i="8"/>
  <c r="H119" i="8"/>
  <c r="J121" i="8"/>
  <c r="H120" i="8"/>
  <c r="I120" i="8"/>
  <c r="I121" i="8"/>
  <c r="I119" i="8"/>
  <c r="L16" i="13" l="1"/>
  <c r="L11" i="13"/>
  <c r="F20" i="14" l="1"/>
  <c r="F19" i="14"/>
  <c r="K43" i="13" l="1"/>
  <c r="N12" i="13"/>
  <c r="K45" i="13"/>
  <c r="K44" i="13"/>
  <c r="N18" i="13"/>
  <c r="N11" i="13"/>
  <c r="E18" i="11"/>
  <c r="E17" i="11"/>
  <c r="E26" i="9"/>
  <c r="E25" i="9"/>
  <c r="E18" i="10"/>
  <c r="E17" i="10"/>
  <c r="G31" i="9" l="1"/>
  <c r="N22" i="7"/>
  <c r="N8" i="7"/>
  <c r="N5" i="7"/>
  <c r="N28" i="7"/>
  <c r="N31" i="7"/>
  <c r="N19" i="7"/>
  <c r="N14" i="7"/>
  <c r="N34" i="7"/>
  <c r="N11" i="7"/>
  <c r="N25" i="7"/>
  <c r="N30" i="7"/>
  <c r="N4" i="7"/>
  <c r="N10" i="7"/>
  <c r="N21" i="7"/>
  <c r="N16" i="7"/>
  <c r="N18" i="7"/>
  <c r="N13" i="7"/>
  <c r="N24" i="7"/>
  <c r="N27" i="7"/>
  <c r="N7" i="7"/>
  <c r="N33" i="7"/>
  <c r="N9" i="13"/>
  <c r="N17" i="13"/>
  <c r="N8" i="13"/>
  <c r="N16" i="13"/>
  <c r="N10" i="13"/>
  <c r="N3" i="13"/>
  <c r="N4" i="13"/>
  <c r="J45" i="13"/>
  <c r="H45" i="13"/>
  <c r="I45" i="13"/>
  <c r="J43" i="13"/>
  <c r="H43" i="13"/>
  <c r="I43" i="13"/>
  <c r="J44" i="13"/>
  <c r="I44" i="13"/>
  <c r="H44" i="13"/>
  <c r="G22" i="11"/>
  <c r="G23" i="11"/>
  <c r="G24" i="11"/>
  <c r="N4" i="11" s="1"/>
  <c r="H56" i="7"/>
  <c r="J56" i="7"/>
  <c r="I56" i="7"/>
  <c r="J57" i="7"/>
  <c r="H57" i="7"/>
  <c r="I57" i="7"/>
  <c r="N3" i="11" l="1"/>
  <c r="N5" i="11"/>
  <c r="N6" i="11"/>
  <c r="N8" i="11"/>
  <c r="N7" i="11"/>
  <c r="N5" i="10"/>
  <c r="N8" i="10"/>
  <c r="N7" i="10"/>
  <c r="N4" i="10"/>
  <c r="N3" i="10"/>
  <c r="N6" i="10"/>
  <c r="N4" i="9"/>
  <c r="N16" i="9"/>
  <c r="N7" i="9"/>
  <c r="N10" i="9"/>
  <c r="N19" i="9"/>
  <c r="N5" i="9"/>
  <c r="N11" i="9"/>
  <c r="N17" i="9"/>
  <c r="N20" i="9"/>
  <c r="N8" i="9"/>
  <c r="N3" i="9"/>
  <c r="N18" i="9"/>
  <c r="N9" i="9"/>
  <c r="N15" i="9"/>
  <c r="N6" i="9"/>
  <c r="J31" i="9"/>
  <c r="H31" i="9"/>
  <c r="I31" i="9"/>
  <c r="H32" i="9"/>
  <c r="I32" i="9"/>
  <c r="J32" i="9"/>
  <c r="I30" i="9"/>
  <c r="H30" i="9"/>
  <c r="J30" i="9"/>
  <c r="J23" i="11"/>
  <c r="H23" i="11"/>
  <c r="I23" i="11"/>
  <c r="J22" i="11"/>
  <c r="I22" i="11"/>
  <c r="H22" i="11"/>
  <c r="H24" i="11"/>
  <c r="J24" i="11"/>
  <c r="I24" i="11"/>
  <c r="H22" i="10"/>
  <c r="I22" i="10"/>
  <c r="J22" i="10"/>
  <c r="H24" i="10"/>
  <c r="J24" i="10"/>
  <c r="I24" i="10"/>
  <c r="H23" i="10"/>
  <c r="J23" i="10"/>
  <c r="I23" i="10"/>
  <c r="I13" i="14" l="1"/>
  <c r="K26" i="9" l="1"/>
  <c r="K25" i="9"/>
  <c r="L8" i="13"/>
  <c r="L4" i="14"/>
  <c r="K24" i="9"/>
  <c r="L9" i="13"/>
  <c r="K18" i="11"/>
  <c r="K17" i="11"/>
  <c r="K17" i="10"/>
  <c r="K13" i="14"/>
  <c r="J13" i="14"/>
  <c r="K19" i="11"/>
  <c r="K19" i="10"/>
  <c r="L30" i="8" l="1"/>
  <c r="L23" i="8"/>
  <c r="L76" i="8"/>
  <c r="L47" i="8"/>
  <c r="L31" i="8"/>
  <c r="L54" i="8"/>
  <c r="L44" i="8"/>
  <c r="L77" i="8"/>
  <c r="L34" i="8"/>
  <c r="L67" i="8"/>
  <c r="L63" i="8"/>
  <c r="L60" i="8"/>
  <c r="L14" i="8"/>
  <c r="L51" i="8"/>
  <c r="L79" i="8"/>
  <c r="L48" i="8"/>
  <c r="L86" i="8"/>
  <c r="L29" i="8"/>
  <c r="L3" i="8"/>
  <c r="L37" i="8"/>
  <c r="L87" i="8"/>
  <c r="L26" i="8"/>
  <c r="L73" i="8"/>
  <c r="L41" i="8"/>
  <c r="L9" i="8"/>
  <c r="L20" i="8"/>
  <c r="L7" i="8"/>
  <c r="L64" i="8"/>
  <c r="L15" i="8"/>
  <c r="L82" i="8"/>
  <c r="L89" i="8"/>
  <c r="L59" i="8"/>
  <c r="L11" i="8"/>
  <c r="L5" i="8"/>
  <c r="L56" i="8"/>
  <c r="L38" i="8"/>
  <c r="L88" i="8"/>
  <c r="L70" i="8"/>
  <c r="L33" i="4"/>
  <c r="L4" i="13"/>
  <c r="L3" i="13"/>
  <c r="H49" i="7"/>
  <c r="H51" i="7"/>
  <c r="H50" i="7"/>
  <c r="K12" i="14"/>
  <c r="I12" i="14"/>
  <c r="J12" i="14"/>
  <c r="H39" i="13"/>
  <c r="J39" i="13"/>
  <c r="H38" i="13"/>
  <c r="J38" i="13"/>
  <c r="I39" i="13"/>
  <c r="I38" i="13"/>
  <c r="H115" i="8"/>
  <c r="L3" i="11"/>
  <c r="H37" i="13"/>
  <c r="I37" i="13"/>
  <c r="J37" i="13"/>
  <c r="L32" i="4" l="1"/>
  <c r="L25" i="4"/>
  <c r="L39" i="4"/>
  <c r="L37" i="4"/>
  <c r="L16" i="4"/>
  <c r="L47" i="4"/>
  <c r="L18" i="4"/>
  <c r="L12" i="4"/>
  <c r="L41" i="4"/>
  <c r="L46" i="4"/>
  <c r="L52" i="4"/>
  <c r="L48" i="4"/>
  <c r="L22" i="4"/>
  <c r="L10" i="4"/>
  <c r="L36" i="4"/>
  <c r="L7" i="4"/>
  <c r="L9" i="4"/>
  <c r="L29" i="4"/>
  <c r="L28" i="4"/>
  <c r="L5" i="4"/>
  <c r="L34" i="4"/>
  <c r="L26" i="4"/>
  <c r="L13" i="4"/>
  <c r="L17" i="4"/>
  <c r="L51" i="4"/>
  <c r="L54" i="4"/>
  <c r="L23" i="4"/>
  <c r="L19" i="4"/>
  <c r="L42" i="4"/>
  <c r="L45" i="4"/>
  <c r="L53" i="4"/>
  <c r="L38" i="4"/>
  <c r="L49" i="4"/>
  <c r="L11" i="4"/>
  <c r="L35" i="4"/>
  <c r="L21" i="4"/>
  <c r="L27" i="4"/>
  <c r="L40" i="4"/>
  <c r="L43" i="4"/>
  <c r="L14" i="4"/>
  <c r="L8" i="4"/>
  <c r="L31" i="4"/>
  <c r="L30" i="4"/>
  <c r="L15" i="4"/>
  <c r="L44" i="4"/>
  <c r="L24" i="4"/>
  <c r="L6" i="4"/>
  <c r="L5" i="10"/>
  <c r="L8" i="10"/>
  <c r="L7" i="10"/>
  <c r="L4" i="10"/>
  <c r="L3" i="10"/>
  <c r="L6" i="10"/>
  <c r="L3" i="9"/>
  <c r="L6" i="9"/>
  <c r="L15" i="9"/>
  <c r="L9" i="9"/>
  <c r="L18" i="9"/>
  <c r="L10" i="9"/>
  <c r="L7" i="9"/>
  <c r="L4" i="9"/>
  <c r="L19" i="9"/>
  <c r="L16" i="9"/>
  <c r="J82" i="6"/>
  <c r="J83" i="6"/>
  <c r="J84" i="6"/>
  <c r="K11" i="14"/>
  <c r="J11" i="14"/>
  <c r="I11" i="14"/>
  <c r="H17" i="11"/>
  <c r="I17" i="11"/>
  <c r="J17" i="11"/>
  <c r="I18" i="11"/>
  <c r="H18" i="10"/>
  <c r="J18" i="10"/>
  <c r="H17" i="10"/>
  <c r="I18" i="10"/>
  <c r="J17" i="10"/>
  <c r="I17" i="10"/>
  <c r="H25" i="9"/>
  <c r="J25" i="9"/>
  <c r="I24" i="9"/>
  <c r="H24" i="9"/>
  <c r="J24" i="9"/>
  <c r="H26" i="9"/>
  <c r="I26" i="9"/>
  <c r="I25" i="9"/>
  <c r="J26" i="9"/>
  <c r="I50" i="7"/>
  <c r="I49" i="7"/>
  <c r="J50" i="7"/>
  <c r="H114" i="8"/>
  <c r="I114" i="8"/>
  <c r="J114" i="8"/>
  <c r="I115" i="8"/>
  <c r="J115" i="8"/>
  <c r="H113" i="8"/>
  <c r="J113" i="8"/>
  <c r="I113" i="8"/>
  <c r="J49" i="7"/>
  <c r="I51" i="7"/>
  <c r="J51" i="7"/>
  <c r="H16" i="11"/>
  <c r="I16" i="11"/>
  <c r="H18" i="11"/>
  <c r="J16" i="11"/>
  <c r="J18" i="11"/>
  <c r="I67" i="4"/>
  <c r="J67" i="4"/>
  <c r="H67" i="4"/>
  <c r="H65" i="4"/>
  <c r="I65" i="4"/>
  <c r="J65" i="4"/>
  <c r="H66" i="4"/>
  <c r="I66" i="4"/>
  <c r="J66" i="4"/>
  <c r="I16" i="10" l="1"/>
  <c r="J16" i="10"/>
  <c r="N20" i="4"/>
  <c r="N8" i="4" l="1"/>
  <c r="N32" i="4"/>
  <c r="N40" i="4"/>
  <c r="N41" i="4"/>
  <c r="N34" i="4"/>
  <c r="N5" i="4"/>
  <c r="N28" i="4"/>
  <c r="N51" i="4"/>
  <c r="N15" i="4"/>
  <c r="N9" i="4"/>
  <c r="N37" i="4"/>
  <c r="N42" i="4"/>
  <c r="N19" i="4"/>
  <c r="N22" i="4"/>
  <c r="N11" i="4"/>
  <c r="N12" i="4"/>
  <c r="N10" i="4"/>
  <c r="N36" i="4"/>
  <c r="N44" i="4"/>
  <c r="N25" i="4"/>
  <c r="N23" i="4"/>
  <c r="N54" i="4"/>
  <c r="N24" i="4"/>
  <c r="N14" i="4"/>
  <c r="N16" i="4"/>
  <c r="N49" i="4"/>
  <c r="N30" i="4"/>
  <c r="N47" i="4"/>
  <c r="N38" i="4"/>
  <c r="N29" i="4"/>
  <c r="N21" i="4"/>
  <c r="N43" i="4"/>
  <c r="N48" i="4"/>
  <c r="N4" i="4"/>
  <c r="N27" i="4"/>
  <c r="N6" i="4"/>
  <c r="N18" i="4"/>
  <c r="N13" i="4"/>
  <c r="N31" i="4"/>
  <c r="N46" i="4"/>
  <c r="N26" i="4"/>
  <c r="N53" i="4"/>
  <c r="N45" i="4"/>
  <c r="N39" i="4"/>
  <c r="N52" i="4"/>
  <c r="N17" i="4"/>
  <c r="N35" i="4"/>
  <c r="N7" i="4"/>
  <c r="J71" i="4"/>
  <c r="I71" i="4"/>
  <c r="H71" i="4"/>
  <c r="N6" i="7" l="1"/>
  <c r="N9" i="7" l="1"/>
  <c r="N26" i="7"/>
  <c r="I55" i="7"/>
  <c r="N32" i="7"/>
  <c r="N20" i="7"/>
  <c r="H55" i="7"/>
  <c r="N29" i="7"/>
  <c r="N15" i="7"/>
  <c r="N17" i="7"/>
  <c r="J55" i="7"/>
  <c r="N12" i="7"/>
  <c r="N23" i="7"/>
  <c r="N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Bobbitt, Bradley</author>
  </authors>
  <commentList>
    <comment ref="F85" authorId="0" shapeId="0" xr:uid="{DBD31F36-6000-49B1-82A2-10B0BAED6B74}">
      <text>
        <r>
          <rPr>
            <b/>
            <sz val="9"/>
            <color indexed="81"/>
            <rFont val="Tahoma"/>
            <family val="2"/>
          </rPr>
          <t>Bobbitt, Bradley:</t>
        </r>
        <r>
          <rPr>
            <sz val="9"/>
            <color indexed="81"/>
            <rFont val="Tahoma"/>
            <family val="2"/>
          </rPr>
          <t xml:space="preserve">
PPISH = Passengers Per In-Service Hour</t>
        </r>
      </text>
    </comment>
  </commentList>
</comments>
</file>

<file path=xl/sharedStrings.xml><?xml version="1.0" encoding="utf-8"?>
<sst xmlns="http://schemas.openxmlformats.org/spreadsheetml/2006/main" count="2925" uniqueCount="164">
  <si>
    <t>Type</t>
  </si>
  <si>
    <t>Day of Service</t>
  </si>
  <si>
    <t>Total Cost</t>
  </si>
  <si>
    <t>Passenger Trips</t>
  </si>
  <si>
    <t>Fare Revenue</t>
  </si>
  <si>
    <t>In-Service Hours</t>
  </si>
  <si>
    <t>Weekday</t>
  </si>
  <si>
    <t>Provider</t>
  </si>
  <si>
    <t>MVTA</t>
  </si>
  <si>
    <t>Saturday</t>
  </si>
  <si>
    <t>Sunday</t>
  </si>
  <si>
    <t>Subsidy per Passenger</t>
  </si>
  <si>
    <t>Metro Mobility</t>
  </si>
  <si>
    <t>ADA Dial-a-Ride</t>
  </si>
  <si>
    <t>Core Local</t>
  </si>
  <si>
    <t>Supporting Local</t>
  </si>
  <si>
    <t>Suburban Local</t>
  </si>
  <si>
    <t>Blue Line</t>
  </si>
  <si>
    <t>Light Rail</t>
  </si>
  <si>
    <t>Commuter Rail</t>
  </si>
  <si>
    <t>Comments</t>
  </si>
  <si>
    <t>Total Subsidy</t>
  </si>
  <si>
    <t>Pass per In-Service Hr</t>
  </si>
  <si>
    <t>Weekdays</t>
  </si>
  <si>
    <t>SW Transit</t>
  </si>
  <si>
    <t>Connect</t>
  </si>
  <si>
    <t>Table 1</t>
  </si>
  <si>
    <t>Fare Revenues</t>
  </si>
  <si>
    <t>Net Subsidy</t>
  </si>
  <si>
    <t>Total Passenger Trips</t>
  </si>
  <si>
    <t>Annual Hours</t>
  </si>
  <si>
    <t>Passengers per Hour</t>
  </si>
  <si>
    <t>Comment</t>
  </si>
  <si>
    <t>Route Level Subsidy per Pass</t>
  </si>
  <si>
    <t>Average</t>
  </si>
  <si>
    <t>Tier 1</t>
  </si>
  <si>
    <t>Tier 2</t>
  </si>
  <si>
    <t>Tier 3</t>
  </si>
  <si>
    <t>Vanpool</t>
  </si>
  <si>
    <t>Pass per IS Hour</t>
  </si>
  <si>
    <t>System Level Subsidy per Pass</t>
  </si>
  <si>
    <t>Count of Routes</t>
  </si>
  <si>
    <t>Annual In-Service Hours</t>
  </si>
  <si>
    <t>Saturdays</t>
  </si>
  <si>
    <t>Sundays</t>
  </si>
  <si>
    <t>Plymouth MetroLink</t>
  </si>
  <si>
    <t>Commuter/Express</t>
  </si>
  <si>
    <t xml:space="preserve">Subsidy compared to peer average </t>
  </si>
  <si>
    <t>Subsidy compared to peer average</t>
  </si>
  <si>
    <t>Route Number</t>
  </si>
  <si>
    <t>Route Name</t>
  </si>
  <si>
    <t>Orange Line</t>
  </si>
  <si>
    <t>Red Line</t>
  </si>
  <si>
    <t>A Line</t>
  </si>
  <si>
    <t>C Line</t>
  </si>
  <si>
    <t>D Line</t>
  </si>
  <si>
    <t>Annual Revenue Hours</t>
  </si>
  <si>
    <t>Service Period</t>
  </si>
  <si>
    <t>Microtransit</t>
  </si>
  <si>
    <t>Click-and-Ride</t>
  </si>
  <si>
    <t xml:space="preserve">Route Number </t>
  </si>
  <si>
    <t>Suburb-to-Suburb</t>
  </si>
  <si>
    <t>Pass per IS Hour Guideline</t>
  </si>
  <si>
    <t>General Dial-a-Ride</t>
  </si>
  <si>
    <t>Farebox Recovery</t>
  </si>
  <si>
    <t>Arterial BRT</t>
  </si>
  <si>
    <t>Highway BRT</t>
  </si>
  <si>
    <t>General DAR</t>
  </si>
  <si>
    <t>Annual 
In-Service Hours</t>
  </si>
  <si>
    <t>Farebox Recovery Ratio</t>
  </si>
  <si>
    <t>Subsidy Per Passenger Trip</t>
  </si>
  <si>
    <t>Farebox Recovery Compared to Peer Average</t>
  </si>
  <si>
    <t>4FUN</t>
  </si>
  <si>
    <t>Orange LINK</t>
  </si>
  <si>
    <t>Metro Micro</t>
  </si>
  <si>
    <t>All</t>
  </si>
  <si>
    <t>Special/Event</t>
  </si>
  <si>
    <t>Met Council</t>
  </si>
  <si>
    <t>2025 Commuter/Express Bus</t>
  </si>
  <si>
    <t>2025 Core Local Bus</t>
  </si>
  <si>
    <t>2025 Supporting Local Bus</t>
  </si>
  <si>
    <t>2025 Arterial Bus Rapid Transit</t>
  </si>
  <si>
    <t>2025 Highway Bus Rapid Transit</t>
  </si>
  <si>
    <t>2025 Light Rail</t>
  </si>
  <si>
    <t>2025 Microtransit</t>
  </si>
  <si>
    <t>2025 Vanpool</t>
  </si>
  <si>
    <t>2025 All Routes</t>
  </si>
  <si>
    <t>PPISH Guideline</t>
  </si>
  <si>
    <t>Route Discontinued</t>
  </si>
  <si>
    <t>Implemented December 2025</t>
  </si>
  <si>
    <t>B Line</t>
  </si>
  <si>
    <t>E Line</t>
  </si>
  <si>
    <t>Gold Line</t>
  </si>
  <si>
    <t>Dedicated BRT</t>
  </si>
  <si>
    <t>Green line</t>
  </si>
  <si>
    <t>Metro Move</t>
  </si>
  <si>
    <t>Waiver Transportation</t>
  </si>
  <si>
    <t>*Operates all days, but vast majority of service operated on Weekdays.</t>
  </si>
  <si>
    <t>Contract expenses allocated between service days using revenue hours and revenue using ridership.</t>
  </si>
  <si>
    <t>Northstar</t>
  </si>
  <si>
    <t>Transit Link</t>
  </si>
  <si>
    <t>Maple Grove Transit</t>
  </si>
  <si>
    <t>MY Ride</t>
  </si>
  <si>
    <t>Select trips extended to Savage September 2025</t>
  </si>
  <si>
    <t>Route merged with Route 472 June 2026</t>
  </si>
  <si>
    <t>Route suspended June 2026, merged with Route 470</t>
  </si>
  <si>
    <t>Route suspended June 2026</t>
  </si>
  <si>
    <t>Route merged with Route 493 August 2026</t>
  </si>
  <si>
    <t>Route suspended August 2026, merged with Route 490</t>
  </si>
  <si>
    <t>Route suspended March 2026</t>
  </si>
  <si>
    <t>Route restructured March 2026</t>
  </si>
  <si>
    <t>Route extended August 2026</t>
  </si>
  <si>
    <t>Planned suspension December 2026</t>
  </si>
  <si>
    <t>Route suspended March 2026, merged with Route 495</t>
  </si>
  <si>
    <t>Service suspended March 2026</t>
  </si>
  <si>
    <t>Service Name</t>
  </si>
  <si>
    <t>Service Zone</t>
  </si>
  <si>
    <t>Prime</t>
  </si>
  <si>
    <t>Sunday service introduced September 2025</t>
  </si>
  <si>
    <t>Saturday service introduced September 2025</t>
  </si>
  <si>
    <t>Service began December 2025</t>
  </si>
  <si>
    <t>Service began June 2025</t>
  </si>
  <si>
    <t>Service Introduced March 2025</t>
  </si>
  <si>
    <t>System Level Farebox Recovery</t>
  </si>
  <si>
    <t>Yes</t>
  </si>
  <si>
    <t>Suspended or Restructured</t>
  </si>
  <si>
    <t>No</t>
  </si>
  <si>
    <t xml:space="preserve">2025 Suburban Local Bus </t>
  </si>
  <si>
    <t>Implemented March 2025</t>
  </si>
  <si>
    <t>Discontinued in 2025</t>
  </si>
  <si>
    <t>NONE</t>
  </si>
  <si>
    <t>Route merged with Route 410 March 2026</t>
  </si>
  <si>
    <t>Major route restructure September 2025</t>
  </si>
  <si>
    <t>Main Zone</t>
  </si>
  <si>
    <t>Eagan Zone</t>
  </si>
  <si>
    <t>Shakopie/Prior Lake Zone</t>
  </si>
  <si>
    <t>N Mpls</t>
  </si>
  <si>
    <t>Roseville</t>
  </si>
  <si>
    <t>Woodbury</t>
  </si>
  <si>
    <t>Bloomington</t>
  </si>
  <si>
    <t>Blaine</t>
  </si>
  <si>
    <t>Routes Suspended or Restructured before August, 2026 - Included in Peer Comparison Reporting</t>
  </si>
  <si>
    <t>New 2025 Routes in 12-Month Demonstration Period - Not included in Peer Comparison Reporting</t>
  </si>
  <si>
    <t>Route major restructure implemented March 2026</t>
  </si>
  <si>
    <t>New 2025 Routes in 12-Month Demonstration Period - Not Included in Peer Comparison Reporting</t>
  </si>
  <si>
    <t>2025 Dedicated Bus Rapid Transit</t>
  </si>
  <si>
    <t>Zones Suspended or Restructured before August, 2026 - Included in Peer Comparison Reporting</t>
  </si>
  <si>
    <t>New 2025 Zones in 12-Month Demonstration Period - Not Included in Peer Comparison Reporting</t>
  </si>
  <si>
    <t>Service began January 2025</t>
  </si>
  <si>
    <t>Service began August 2025</t>
  </si>
  <si>
    <t>Service began September 2025</t>
  </si>
  <si>
    <t>2025 Dial-a-Ride (Special Transportation Services &amp; General)</t>
  </si>
  <si>
    <t>Special Transportation Services (ADA paratransit &amp; waiver transportation)</t>
  </si>
  <si>
    <t>SF/RF/Twins/Gopher/concert/ Viking/etc.</t>
  </si>
  <si>
    <t>Dicontinued June 2025 - Replaced by B Line</t>
  </si>
  <si>
    <t>Dicontinued December 2025 - Replaced by E Line</t>
  </si>
  <si>
    <t>Metro Vanpool</t>
  </si>
  <si>
    <t>Shakopee/Prior Lake Zone</t>
  </si>
  <si>
    <t>All Days</t>
  </si>
  <si>
    <t>Service suspended January 2026</t>
  </si>
  <si>
    <t>2025 Commuter Rail</t>
  </si>
  <si>
    <t>Became contracted route in 2026</t>
  </si>
  <si>
    <t>Became contracted route 2026</t>
  </si>
  <si>
    <t>Reverse Commute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</si>
</sst>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&quot;$&quot;#,##0"/>
    <numFmt numFmtId="167" formatCode="0.0%"/>
    <numFmt numFmtId="168" formatCode="_(* #,##0_);_(* \(#,##0\);_(* &quot;-&quot;??_);_(@_)"/>
    <numFmt numFmtId="169" formatCode="_(&quot;$&quot;* #,##0_);_(&quot;$&quot;* \(#,##0\);_(&quot;$&quot;* &quot;-&quot;??_);_(@_)"/>
    <numFmt numFmtId="170" formatCode="_(* #,##0.0_);_(* \(#,##0.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 Black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24"/>
      <color theme="0"/>
      <name val="Arial Black"/>
      <family val="2"/>
    </font>
    <font>
      <sz val="1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0"/>
      <name val="Arial Black"/>
      <family val="2"/>
    </font>
    <font>
      <b/>
      <sz val="11"/>
      <name val="Aptos"/>
      <family val="2"/>
    </font>
    <font>
      <sz val="11"/>
      <name val="Aptos"/>
      <family val="2"/>
    </font>
    <font>
      <sz val="12"/>
      <name val="Aptos"/>
      <family val="2"/>
    </font>
    <font>
      <b/>
      <sz val="18"/>
      <color theme="0"/>
      <name val="Aptos"/>
      <family val="2"/>
    </font>
    <font>
      <sz val="11"/>
      <color rgb="FFFF000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9"/>
      <name val="Aptos"/>
      <family val="2"/>
    </font>
    <font>
      <sz val="12"/>
      <color theme="1"/>
      <name val="Aptos"/>
      <family val="2"/>
    </font>
    <font>
      <i/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7CE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7" fillId="0" borderId="0"/>
    <xf numFmtId="0" fontId="19" fillId="0" borderId="0"/>
  </cellStyleXfs>
  <cellXfs count="483">
    <xf numFmtId="0" fontId="0" fillId="0" borderId="0" xfId="0"/>
    <xf numFmtId="168" fontId="0" fillId="0" borderId="0" xfId="4" applyNumberFormat="1" applyFont="1"/>
    <xf numFmtId="0" fontId="3" fillId="0" borderId="0" xfId="0" applyFont="1"/>
    <xf numFmtId="3" fontId="0" fillId="0" borderId="0" xfId="0" applyNumberFormat="1"/>
    <xf numFmtId="0" fontId="0" fillId="0" borderId="0" xfId="0" applyAlignment="1">
      <alignment wrapText="1"/>
    </xf>
    <xf numFmtId="44" fontId="0" fillId="0" borderId="0" xfId="0" applyNumberFormat="1"/>
    <xf numFmtId="168" fontId="0" fillId="0" borderId="0" xfId="4" applyNumberFormat="1" applyFont="1" applyFill="1"/>
    <xf numFmtId="44" fontId="4" fillId="0" borderId="0" xfId="12" applyNumberFormat="1" applyFont="1" applyFill="1"/>
    <xf numFmtId="0" fontId="0" fillId="0" borderId="0" xfId="0" applyAlignment="1">
      <alignment horizontal="center"/>
    </xf>
    <xf numFmtId="0" fontId="10" fillId="0" borderId="0" xfId="13" applyFont="1" applyAlignment="1">
      <alignment wrapText="1"/>
    </xf>
    <xf numFmtId="0" fontId="9" fillId="0" borderId="0" xfId="0" applyFont="1"/>
    <xf numFmtId="0" fontId="12" fillId="0" borderId="0" xfId="0" applyFont="1" applyAlignment="1">
      <alignment wrapText="1"/>
    </xf>
    <xf numFmtId="0" fontId="11" fillId="0" borderId="0" xfId="0" applyFont="1"/>
    <xf numFmtId="1" fontId="11" fillId="0" borderId="0" xfId="0" applyNumberFormat="1" applyFont="1"/>
    <xf numFmtId="166" fontId="11" fillId="0" borderId="0" xfId="0" applyNumberFormat="1" applyFont="1"/>
    <xf numFmtId="164" fontId="11" fillId="0" borderId="0" xfId="0" applyNumberFormat="1" applyFont="1"/>
    <xf numFmtId="3" fontId="11" fillId="0" borderId="0" xfId="4" applyNumberFormat="1" applyFont="1" applyFill="1" applyAlignment="1"/>
    <xf numFmtId="0" fontId="15" fillId="6" borderId="0" xfId="13" applyFont="1" applyFill="1" applyAlignment="1">
      <alignment horizontal="left"/>
    </xf>
    <xf numFmtId="38" fontId="14" fillId="4" borderId="4" xfId="0" applyNumberFormat="1" applyFont="1" applyFill="1" applyBorder="1" applyAlignment="1">
      <alignment horizontal="center" vertical="center" wrapText="1"/>
    </xf>
    <xf numFmtId="169" fontId="14" fillId="4" borderId="4" xfId="11" applyNumberFormat="1" applyFont="1" applyFill="1" applyBorder="1" applyAlignment="1">
      <alignment horizontal="center" vertical="center" wrapText="1"/>
    </xf>
    <xf numFmtId="168" fontId="14" fillId="4" borderId="4" xfId="4" applyNumberFormat="1" applyFont="1" applyFill="1" applyBorder="1" applyAlignment="1">
      <alignment horizontal="center" vertical="center" wrapText="1"/>
    </xf>
    <xf numFmtId="40" fontId="14" fillId="4" borderId="4" xfId="0" applyNumberFormat="1" applyFont="1" applyFill="1" applyBorder="1" applyAlignment="1">
      <alignment horizontal="center" vertical="center" wrapText="1"/>
    </xf>
    <xf numFmtId="9" fontId="14" fillId="4" borderId="4" xfId="5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38" fontId="14" fillId="4" borderId="10" xfId="0" applyNumberFormat="1" applyFont="1" applyFill="1" applyBorder="1" applyAlignment="1">
      <alignment horizontal="center" vertical="center" wrapText="1"/>
    </xf>
    <xf numFmtId="167" fontId="11" fillId="0" borderId="0" xfId="5" applyNumberFormat="1" applyFont="1" applyBorder="1"/>
    <xf numFmtId="0" fontId="13" fillId="4" borderId="26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8" xfId="0" applyFont="1" applyBorder="1"/>
    <xf numFmtId="44" fontId="11" fillId="0" borderId="25" xfId="0" applyNumberFormat="1" applyFont="1" applyBorder="1"/>
    <xf numFmtId="0" fontId="11" fillId="0" borderId="2" xfId="0" applyFont="1" applyBorder="1"/>
    <xf numFmtId="44" fontId="11" fillId="0" borderId="0" xfId="0" applyNumberFormat="1" applyFont="1"/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6" borderId="21" xfId="0" applyFont="1" applyFill="1" applyBorder="1"/>
    <xf numFmtId="0" fontId="11" fillId="6" borderId="24" xfId="0" applyFont="1" applyFill="1" applyBorder="1"/>
    <xf numFmtId="44" fontId="11" fillId="0" borderId="31" xfId="0" applyNumberFormat="1" applyFont="1" applyBorder="1"/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1" fillId="0" borderId="5" xfId="0" applyFont="1" applyBorder="1"/>
    <xf numFmtId="0" fontId="11" fillId="0" borderId="9" xfId="0" applyFont="1" applyBorder="1"/>
    <xf numFmtId="0" fontId="11" fillId="0" borderId="7" xfId="0" applyFont="1" applyBorder="1"/>
    <xf numFmtId="0" fontId="11" fillId="0" borderId="13" xfId="0" applyFont="1" applyBorder="1"/>
    <xf numFmtId="44" fontId="11" fillId="0" borderId="14" xfId="0" applyNumberFormat="1" applyFont="1" applyBorder="1"/>
    <xf numFmtId="44" fontId="11" fillId="2" borderId="14" xfId="0" applyNumberFormat="1" applyFont="1" applyFill="1" applyBorder="1"/>
    <xf numFmtId="44" fontId="11" fillId="5" borderId="14" xfId="0" applyNumberFormat="1" applyFont="1" applyFill="1" applyBorder="1"/>
    <xf numFmtId="44" fontId="16" fillId="3" borderId="15" xfId="12" applyNumberFormat="1" applyFont="1" applyBorder="1"/>
    <xf numFmtId="44" fontId="11" fillId="0" borderId="14" xfId="11" applyFont="1" applyBorder="1"/>
    <xf numFmtId="0" fontId="11" fillId="0" borderId="22" xfId="0" applyFont="1" applyBorder="1"/>
    <xf numFmtId="0" fontId="11" fillId="0" borderId="20" xfId="0" applyFont="1" applyBorder="1"/>
    <xf numFmtId="9" fontId="11" fillId="0" borderId="0" xfId="5" applyFont="1"/>
    <xf numFmtId="0" fontId="11" fillId="0" borderId="16" xfId="0" applyFont="1" applyBorder="1"/>
    <xf numFmtId="44" fontId="11" fillId="0" borderId="17" xfId="11" applyFont="1" applyBorder="1"/>
    <xf numFmtId="44" fontId="11" fillId="2" borderId="17" xfId="0" applyNumberFormat="1" applyFont="1" applyFill="1" applyBorder="1"/>
    <xf numFmtId="44" fontId="11" fillId="5" borderId="17" xfId="0" applyNumberFormat="1" applyFont="1" applyFill="1" applyBorder="1"/>
    <xf numFmtId="44" fontId="16" fillId="3" borderId="18" xfId="12" applyNumberFormat="1" applyFont="1" applyBorder="1"/>
    <xf numFmtId="0" fontId="14" fillId="4" borderId="11" xfId="0" applyFont="1" applyFill="1" applyBorder="1" applyAlignment="1">
      <alignment horizontal="center" vertical="center" wrapText="1"/>
    </xf>
    <xf numFmtId="43" fontId="0" fillId="0" borderId="0" xfId="0" applyNumberFormat="1"/>
    <xf numFmtId="167" fontId="11" fillId="0" borderId="29" xfId="5" applyNumberFormat="1" applyFont="1" applyBorder="1"/>
    <xf numFmtId="167" fontId="11" fillId="2" borderId="29" xfId="5" applyNumberFormat="1" applyFont="1" applyFill="1" applyBorder="1"/>
    <xf numFmtId="167" fontId="11" fillId="5" borderId="29" xfId="5" applyNumberFormat="1" applyFont="1" applyFill="1" applyBorder="1"/>
    <xf numFmtId="167" fontId="16" fillId="3" borderId="30" xfId="5" applyNumberFormat="1" applyFont="1" applyFill="1" applyBorder="1"/>
    <xf numFmtId="167" fontId="11" fillId="0" borderId="0" xfId="5" applyNumberFormat="1" applyFont="1"/>
    <xf numFmtId="167" fontId="11" fillId="2" borderId="0" xfId="5" applyNumberFormat="1" applyFont="1" applyFill="1"/>
    <xf numFmtId="167" fontId="11" fillId="5" borderId="0" xfId="5" applyNumberFormat="1" applyFont="1" applyFill="1"/>
    <xf numFmtId="167" fontId="16" fillId="3" borderId="5" xfId="5" applyNumberFormat="1" applyFont="1" applyFill="1" applyBorder="1"/>
    <xf numFmtId="167" fontId="11" fillId="0" borderId="25" xfId="5" applyNumberFormat="1" applyFont="1" applyBorder="1"/>
    <xf numFmtId="167" fontId="11" fillId="0" borderId="31" xfId="5" applyNumberFormat="1" applyFont="1" applyBorder="1"/>
    <xf numFmtId="167" fontId="11" fillId="2" borderId="6" xfId="5" applyNumberFormat="1" applyFont="1" applyFill="1" applyBorder="1"/>
    <xf numFmtId="167" fontId="11" fillId="5" borderId="6" xfId="5" applyNumberFormat="1" applyFont="1" applyFill="1" applyBorder="1"/>
    <xf numFmtId="167" fontId="16" fillId="3" borderId="7" xfId="5" applyNumberFormat="1" applyFont="1" applyFill="1" applyBorder="1"/>
    <xf numFmtId="167" fontId="17" fillId="0" borderId="0" xfId="5" applyNumberFormat="1" applyFont="1" applyBorder="1"/>
    <xf numFmtId="0" fontId="13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9" fontId="14" fillId="4" borderId="41" xfId="5" applyFont="1" applyFill="1" applyBorder="1" applyAlignment="1">
      <alignment horizontal="center" vertical="center" wrapText="1"/>
    </xf>
    <xf numFmtId="9" fontId="14" fillId="4" borderId="40" xfId="5" applyFont="1" applyFill="1" applyBorder="1" applyAlignment="1">
      <alignment horizontal="center" vertical="center" wrapText="1"/>
    </xf>
    <xf numFmtId="38" fontId="14" fillId="4" borderId="40" xfId="0" applyNumberFormat="1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8" fillId="0" borderId="20" xfId="0" applyFont="1" applyBorder="1"/>
    <xf numFmtId="0" fontId="18" fillId="0" borderId="5" xfId="0" applyFont="1" applyBorder="1"/>
    <xf numFmtId="0" fontId="18" fillId="0" borderId="5" xfId="0" applyFont="1" applyBorder="1" applyAlignment="1">
      <alignment wrapText="1"/>
    </xf>
    <xf numFmtId="0" fontId="18" fillId="0" borderId="7" xfId="0" applyFont="1" applyBorder="1"/>
    <xf numFmtId="0" fontId="14" fillId="4" borderId="43" xfId="0" applyFont="1" applyFill="1" applyBorder="1" applyAlignment="1">
      <alignment horizontal="center" vertical="center" wrapText="1"/>
    </xf>
    <xf numFmtId="1" fontId="14" fillId="4" borderId="44" xfId="0" applyNumberFormat="1" applyFont="1" applyFill="1" applyBorder="1" applyAlignment="1">
      <alignment horizontal="center" vertical="center" wrapText="1"/>
    </xf>
    <xf numFmtId="38" fontId="14" fillId="4" borderId="44" xfId="0" applyNumberFormat="1" applyFont="1" applyFill="1" applyBorder="1" applyAlignment="1">
      <alignment horizontal="center" vertical="center" wrapText="1"/>
    </xf>
    <xf numFmtId="169" fontId="14" fillId="4" borderId="44" xfId="11" applyNumberFormat="1" applyFont="1" applyFill="1" applyBorder="1" applyAlignment="1">
      <alignment horizontal="center" vertical="center" wrapText="1"/>
    </xf>
    <xf numFmtId="168" fontId="14" fillId="4" borderId="44" xfId="4" applyNumberFormat="1" applyFont="1" applyFill="1" applyBorder="1" applyAlignment="1">
      <alignment horizontal="center" vertical="center" wrapText="1"/>
    </xf>
    <xf numFmtId="40" fontId="14" fillId="4" borderId="44" xfId="0" applyNumberFormat="1" applyFont="1" applyFill="1" applyBorder="1" applyAlignment="1">
      <alignment horizontal="center" vertical="center" wrapText="1"/>
    </xf>
    <xf numFmtId="9" fontId="14" fillId="4" borderId="44" xfId="5" applyFont="1" applyFill="1" applyBorder="1" applyAlignment="1">
      <alignment horizontal="center" vertical="center" wrapText="1"/>
    </xf>
    <xf numFmtId="9" fontId="14" fillId="4" borderId="45" xfId="5" applyFont="1" applyFill="1" applyBorder="1" applyAlignment="1">
      <alignment horizontal="center" vertical="center" wrapText="1"/>
    </xf>
    <xf numFmtId="38" fontId="14" fillId="4" borderId="46" xfId="0" applyNumberFormat="1" applyFont="1" applyFill="1" applyBorder="1" applyAlignment="1">
      <alignment horizontal="center" vertical="center" wrapText="1"/>
    </xf>
    <xf numFmtId="0" fontId="4" fillId="0" borderId="0" xfId="0" applyFont="1"/>
    <xf numFmtId="1" fontId="16" fillId="0" borderId="0" xfId="0" applyNumberFormat="1" applyFont="1"/>
    <xf numFmtId="0" fontId="16" fillId="0" borderId="0" xfId="0" applyFont="1"/>
    <xf numFmtId="167" fontId="16" fillId="0" borderId="0" xfId="5" applyNumberFormat="1" applyFont="1" applyBorder="1"/>
    <xf numFmtId="165" fontId="16" fillId="0" borderId="0" xfId="0" applyNumberFormat="1" applyFont="1"/>
    <xf numFmtId="0" fontId="16" fillId="0" borderId="2" xfId="0" applyFont="1" applyBorder="1"/>
    <xf numFmtId="166" fontId="16" fillId="0" borderId="0" xfId="0" applyNumberFormat="1" applyFont="1"/>
    <xf numFmtId="3" fontId="16" fillId="0" borderId="0" xfId="0" applyNumberFormat="1" applyFont="1"/>
    <xf numFmtId="41" fontId="16" fillId="0" borderId="0" xfId="0" applyNumberFormat="1" applyFont="1"/>
    <xf numFmtId="167" fontId="16" fillId="0" borderId="0" xfId="5" applyNumberFormat="1" applyFont="1" applyFill="1" applyBorder="1"/>
    <xf numFmtId="0" fontId="16" fillId="0" borderId="9" xfId="0" applyFont="1" applyBorder="1"/>
    <xf numFmtId="1" fontId="16" fillId="0" borderId="6" xfId="0" applyNumberFormat="1" applyFont="1" applyBorder="1"/>
    <xf numFmtId="0" fontId="16" fillId="0" borderId="6" xfId="0" applyFont="1" applyBorder="1"/>
    <xf numFmtId="166" fontId="16" fillId="0" borderId="6" xfId="0" applyNumberFormat="1" applyFont="1" applyBorder="1"/>
    <xf numFmtId="3" fontId="16" fillId="0" borderId="6" xfId="0" applyNumberFormat="1" applyFont="1" applyBorder="1"/>
    <xf numFmtId="41" fontId="16" fillId="0" borderId="6" xfId="0" applyNumberFormat="1" applyFont="1" applyBorder="1"/>
    <xf numFmtId="0" fontId="16" fillId="0" borderId="19" xfId="0" applyFont="1" applyBorder="1"/>
    <xf numFmtId="1" fontId="16" fillId="0" borderId="12" xfId="0" applyNumberFormat="1" applyFont="1" applyBorder="1"/>
    <xf numFmtId="0" fontId="16" fillId="0" borderId="12" xfId="0" applyFont="1" applyBorder="1"/>
    <xf numFmtId="166" fontId="16" fillId="0" borderId="12" xfId="0" applyNumberFormat="1" applyFont="1" applyBorder="1"/>
    <xf numFmtId="3" fontId="16" fillId="0" borderId="12" xfId="0" applyNumberFormat="1" applyFont="1" applyBorder="1"/>
    <xf numFmtId="41" fontId="16" fillId="0" borderId="12" xfId="0" applyNumberFormat="1" applyFont="1" applyBorder="1"/>
    <xf numFmtId="44" fontId="16" fillId="0" borderId="12" xfId="11" applyFont="1" applyBorder="1"/>
    <xf numFmtId="167" fontId="16" fillId="0" borderId="12" xfId="5" applyNumberFormat="1" applyFont="1" applyBorder="1"/>
    <xf numFmtId="170" fontId="16" fillId="0" borderId="12" xfId="4" applyNumberFormat="1" applyFont="1" applyBorder="1"/>
    <xf numFmtId="44" fontId="16" fillId="0" borderId="0" xfId="11" applyFont="1" applyBorder="1"/>
    <xf numFmtId="170" fontId="16" fillId="0" borderId="0" xfId="4" applyNumberFormat="1" applyFont="1" applyBorder="1"/>
    <xf numFmtId="44" fontId="16" fillId="0" borderId="6" xfId="11" applyFont="1" applyBorder="1"/>
    <xf numFmtId="167" fontId="16" fillId="0" borderId="6" xfId="5" applyNumberFormat="1" applyFont="1" applyBorder="1"/>
    <xf numFmtId="170" fontId="16" fillId="0" borderId="6" xfId="4" applyNumberFormat="1" applyFont="1" applyBorder="1"/>
    <xf numFmtId="0" fontId="16" fillId="0" borderId="1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5" fillId="6" borderId="38" xfId="13" applyFont="1" applyFill="1" applyBorder="1" applyAlignment="1">
      <alignment horizontal="left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167" fontId="16" fillId="0" borderId="12" xfId="5" applyNumberFormat="1" applyFont="1" applyFill="1" applyBorder="1"/>
    <xf numFmtId="0" fontId="4" fillId="0" borderId="0" xfId="0" applyFont="1" applyAlignment="1">
      <alignment wrapText="1"/>
    </xf>
    <xf numFmtId="0" fontId="15" fillId="6" borderId="6" xfId="13" applyFont="1" applyFill="1" applyBorder="1"/>
    <xf numFmtId="0" fontId="18" fillId="0" borderId="0" xfId="0" applyFont="1" applyAlignment="1">
      <alignment wrapText="1"/>
    </xf>
    <xf numFmtId="164" fontId="20" fillId="0" borderId="0" xfId="0" applyNumberFormat="1" applyFont="1"/>
    <xf numFmtId="0" fontId="15" fillId="6" borderId="0" xfId="13" applyFont="1" applyFill="1"/>
    <xf numFmtId="0" fontId="0" fillId="0" borderId="6" xfId="0" applyBorder="1"/>
    <xf numFmtId="44" fontId="16" fillId="0" borderId="12" xfId="11" applyFont="1" applyFill="1" applyBorder="1"/>
    <xf numFmtId="9" fontId="14" fillId="4" borderId="49" xfId="5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4" xfId="0" applyBorder="1"/>
    <xf numFmtId="0" fontId="4" fillId="0" borderId="12" xfId="0" applyFont="1" applyBorder="1"/>
    <xf numFmtId="164" fontId="4" fillId="0" borderId="12" xfId="0" applyNumberFormat="1" applyFont="1" applyBorder="1"/>
    <xf numFmtId="3" fontId="4" fillId="0" borderId="12" xfId="0" applyNumberFormat="1" applyFont="1" applyBorder="1"/>
    <xf numFmtId="4" fontId="4" fillId="0" borderId="12" xfId="0" applyNumberFormat="1" applyFont="1" applyBorder="1"/>
    <xf numFmtId="0" fontId="4" fillId="0" borderId="6" xfId="0" applyFont="1" applyBorder="1"/>
    <xf numFmtId="164" fontId="4" fillId="0" borderId="6" xfId="0" applyNumberFormat="1" applyFont="1" applyBorder="1"/>
    <xf numFmtId="3" fontId="4" fillId="0" borderId="6" xfId="0" applyNumberFormat="1" applyFont="1" applyBorder="1"/>
    <xf numFmtId="0" fontId="24" fillId="4" borderId="11" xfId="0" applyFont="1" applyFill="1" applyBorder="1" applyAlignment="1">
      <alignment horizontal="center" vertical="center" wrapText="1"/>
    </xf>
    <xf numFmtId="1" fontId="24" fillId="4" borderId="44" xfId="0" applyNumberFormat="1" applyFont="1" applyFill="1" applyBorder="1" applyAlignment="1">
      <alignment horizontal="center" vertical="center" wrapText="1"/>
    </xf>
    <xf numFmtId="38" fontId="24" fillId="4" borderId="44" xfId="0" applyNumberFormat="1" applyFont="1" applyFill="1" applyBorder="1" applyAlignment="1">
      <alignment horizontal="center" vertical="center" wrapText="1"/>
    </xf>
    <xf numFmtId="169" fontId="24" fillId="4" borderId="44" xfId="11" applyNumberFormat="1" applyFont="1" applyFill="1" applyBorder="1" applyAlignment="1">
      <alignment horizontal="center" vertical="center" wrapText="1"/>
    </xf>
    <xf numFmtId="168" fontId="24" fillId="4" borderId="44" xfId="4" applyNumberFormat="1" applyFont="1" applyFill="1" applyBorder="1" applyAlignment="1">
      <alignment horizontal="center" vertical="center" wrapText="1"/>
    </xf>
    <xf numFmtId="40" fontId="24" fillId="4" borderId="44" xfId="0" applyNumberFormat="1" applyFont="1" applyFill="1" applyBorder="1" applyAlignment="1">
      <alignment horizontal="center" vertical="center" wrapText="1"/>
    </xf>
    <xf numFmtId="9" fontId="24" fillId="4" borderId="44" xfId="5" applyFont="1" applyFill="1" applyBorder="1" applyAlignment="1">
      <alignment horizontal="center" vertical="center" wrapText="1"/>
    </xf>
    <xf numFmtId="9" fontId="24" fillId="4" borderId="45" xfId="5" applyFont="1" applyFill="1" applyBorder="1" applyAlignment="1">
      <alignment horizontal="center" vertical="center" wrapText="1"/>
    </xf>
    <xf numFmtId="38" fontId="24" fillId="4" borderId="46" xfId="0" applyNumberFormat="1" applyFont="1" applyFill="1" applyBorder="1" applyAlignment="1">
      <alignment horizontal="center" vertical="center" wrapText="1"/>
    </xf>
    <xf numFmtId="0" fontId="25" fillId="0" borderId="19" xfId="0" applyFont="1" applyBorder="1"/>
    <xf numFmtId="0" fontId="25" fillId="0" borderId="12" xfId="0" applyFont="1" applyBorder="1"/>
    <xf numFmtId="8" fontId="25" fillId="0" borderId="12" xfId="0" applyNumberFormat="1" applyFont="1" applyBorder="1"/>
    <xf numFmtId="168" fontId="25" fillId="0" borderId="12" xfId="4" applyNumberFormat="1" applyFont="1" applyBorder="1" applyAlignment="1"/>
    <xf numFmtId="164" fontId="25" fillId="0" borderId="12" xfId="0" applyNumberFormat="1" applyFont="1" applyBorder="1"/>
    <xf numFmtId="167" fontId="25" fillId="0" borderId="12" xfId="5" applyNumberFormat="1" applyFont="1" applyBorder="1"/>
    <xf numFmtId="167" fontId="25" fillId="0" borderId="12" xfId="5" applyNumberFormat="1" applyFont="1" applyFill="1" applyBorder="1"/>
    <xf numFmtId="165" fontId="25" fillId="0" borderId="12" xfId="0" applyNumberFormat="1" applyFont="1" applyBorder="1"/>
    <xf numFmtId="0" fontId="25" fillId="0" borderId="20" xfId="0" applyFont="1" applyBorder="1" applyAlignment="1">
      <alignment wrapText="1"/>
    </xf>
    <xf numFmtId="0" fontId="25" fillId="0" borderId="2" xfId="0" applyFont="1" applyBorder="1"/>
    <xf numFmtId="1" fontId="25" fillId="0" borderId="0" xfId="0" applyNumberFormat="1" applyFont="1"/>
    <xf numFmtId="0" fontId="25" fillId="0" borderId="0" xfId="0" applyFont="1"/>
    <xf numFmtId="8" fontId="25" fillId="0" borderId="0" xfId="0" applyNumberFormat="1" applyFont="1"/>
    <xf numFmtId="168" fontId="25" fillId="0" borderId="0" xfId="4" applyNumberFormat="1" applyFont="1" applyBorder="1" applyAlignment="1"/>
    <xf numFmtId="164" fontId="25" fillId="0" borderId="0" xfId="0" applyNumberFormat="1" applyFont="1"/>
    <xf numFmtId="167" fontId="25" fillId="0" borderId="0" xfId="5" applyNumberFormat="1" applyFont="1" applyBorder="1"/>
    <xf numFmtId="167" fontId="25" fillId="0" borderId="0" xfId="5" applyNumberFormat="1" applyFont="1" applyFill="1" applyBorder="1"/>
    <xf numFmtId="165" fontId="25" fillId="0" borderId="0" xfId="0" applyNumberFormat="1" applyFont="1"/>
    <xf numFmtId="0" fontId="25" fillId="0" borderId="5" xfId="0" applyFont="1" applyBorder="1" applyAlignment="1">
      <alignment wrapText="1"/>
    </xf>
    <xf numFmtId="0" fontId="25" fillId="0" borderId="5" xfId="0" applyFont="1" applyBorder="1"/>
    <xf numFmtId="0" fontId="26" fillId="0" borderId="0" xfId="0" applyFont="1"/>
    <xf numFmtId="0" fontId="25" fillId="0" borderId="9" xfId="0" applyFont="1" applyBorder="1"/>
    <xf numFmtId="1" fontId="25" fillId="0" borderId="6" xfId="0" applyNumberFormat="1" applyFont="1" applyBorder="1"/>
    <xf numFmtId="0" fontId="25" fillId="0" borderId="6" xfId="0" applyFont="1" applyBorder="1"/>
    <xf numFmtId="8" fontId="25" fillId="0" borderId="6" xfId="0" applyNumberFormat="1" applyFont="1" applyBorder="1"/>
    <xf numFmtId="168" fontId="25" fillId="0" borderId="6" xfId="4" applyNumberFormat="1" applyFont="1" applyBorder="1" applyAlignment="1"/>
    <xf numFmtId="164" fontId="25" fillId="0" borderId="6" xfId="0" applyNumberFormat="1" applyFont="1" applyBorder="1"/>
    <xf numFmtId="167" fontId="25" fillId="0" borderId="6" xfId="5" applyNumberFormat="1" applyFont="1" applyBorder="1"/>
    <xf numFmtId="167" fontId="25" fillId="0" borderId="6" xfId="5" applyNumberFormat="1" applyFont="1" applyFill="1" applyBorder="1"/>
    <xf numFmtId="165" fontId="25" fillId="0" borderId="6" xfId="0" applyNumberFormat="1" applyFont="1" applyBorder="1"/>
    <xf numFmtId="0" fontId="25" fillId="0" borderId="7" xfId="0" applyFont="1" applyBorder="1" applyAlignment="1">
      <alignment wrapText="1"/>
    </xf>
    <xf numFmtId="165" fontId="28" fillId="0" borderId="12" xfId="0" applyNumberFormat="1" applyFont="1" applyBorder="1"/>
    <xf numFmtId="0" fontId="28" fillId="0" borderId="20" xfId="0" applyFont="1" applyBorder="1" applyAlignment="1">
      <alignment wrapText="1"/>
    </xf>
    <xf numFmtId="0" fontId="28" fillId="0" borderId="0" xfId="0" applyFont="1"/>
    <xf numFmtId="165" fontId="28" fillId="0" borderId="0" xfId="0" applyNumberFormat="1" applyFont="1"/>
    <xf numFmtId="0" fontId="28" fillId="0" borderId="5" xfId="0" applyFont="1" applyBorder="1"/>
    <xf numFmtId="165" fontId="28" fillId="0" borderId="6" xfId="0" applyNumberFormat="1" applyFont="1" applyBorder="1"/>
    <xf numFmtId="0" fontId="28" fillId="0" borderId="7" xfId="0" applyFont="1" applyBorder="1" applyAlignment="1">
      <alignment wrapText="1"/>
    </xf>
    <xf numFmtId="1" fontId="25" fillId="0" borderId="12" xfId="0" applyNumberFormat="1" applyFont="1" applyBorder="1"/>
    <xf numFmtId="0" fontId="29" fillId="0" borderId="0" xfId="0" applyFont="1"/>
    <xf numFmtId="166" fontId="29" fillId="0" borderId="0" xfId="0" applyNumberFormat="1" applyFont="1"/>
    <xf numFmtId="164" fontId="29" fillId="0" borderId="0" xfId="0" applyNumberFormat="1" applyFont="1"/>
    <xf numFmtId="4" fontId="29" fillId="0" borderId="0" xfId="4" applyNumberFormat="1" applyFont="1" applyFill="1" applyBorder="1" applyAlignment="1"/>
    <xf numFmtId="167" fontId="29" fillId="0" borderId="0" xfId="5" applyNumberFormat="1" applyFont="1" applyBorder="1"/>
    <xf numFmtId="0" fontId="29" fillId="0" borderId="0" xfId="0" applyFont="1" applyAlignment="1">
      <alignment wrapText="1"/>
    </xf>
    <xf numFmtId="0" fontId="31" fillId="4" borderId="26" xfId="0" applyFont="1" applyFill="1" applyBorder="1" applyAlignment="1">
      <alignment horizontal="center" vertical="center" wrapText="1"/>
    </xf>
    <xf numFmtId="0" fontId="31" fillId="4" borderId="32" xfId="0" applyFont="1" applyFill="1" applyBorder="1" applyAlignment="1">
      <alignment horizontal="center" vertical="center"/>
    </xf>
    <xf numFmtId="0" fontId="31" fillId="4" borderId="27" xfId="0" applyFont="1" applyFill="1" applyBorder="1" applyAlignment="1">
      <alignment horizontal="center" vertical="center"/>
    </xf>
    <xf numFmtId="0" fontId="31" fillId="4" borderId="8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/>
    </xf>
    <xf numFmtId="0" fontId="29" fillId="0" borderId="28" xfId="0" applyFont="1" applyBorder="1"/>
    <xf numFmtId="44" fontId="29" fillId="0" borderId="29" xfId="0" applyNumberFormat="1" applyFont="1" applyBorder="1"/>
    <xf numFmtId="44" fontId="29" fillId="2" borderId="29" xfId="0" applyNumberFormat="1" applyFont="1" applyFill="1" applyBorder="1"/>
    <xf numFmtId="44" fontId="29" fillId="5" borderId="29" xfId="0" applyNumberFormat="1" applyFont="1" applyFill="1" applyBorder="1"/>
    <xf numFmtId="44" fontId="25" fillId="3" borderId="30" xfId="12" applyNumberFormat="1" applyFont="1" applyBorder="1"/>
    <xf numFmtId="44" fontId="29" fillId="0" borderId="25" xfId="0" applyNumberFormat="1" applyFont="1" applyBorder="1"/>
    <xf numFmtId="0" fontId="29" fillId="0" borderId="2" xfId="0" applyFont="1" applyBorder="1"/>
    <xf numFmtId="44" fontId="29" fillId="0" borderId="0" xfId="0" applyNumberFormat="1" applyFont="1"/>
    <xf numFmtId="44" fontId="29" fillId="2" borderId="0" xfId="0" applyNumberFormat="1" applyFont="1" applyFill="1"/>
    <xf numFmtId="44" fontId="29" fillId="5" borderId="0" xfId="0" applyNumberFormat="1" applyFont="1" applyFill="1"/>
    <xf numFmtId="44" fontId="25" fillId="3" borderId="5" xfId="12" applyNumberFormat="1" applyFont="1" applyBorder="1"/>
    <xf numFmtId="0" fontId="29" fillId="0" borderId="9" xfId="0" applyFont="1" applyBorder="1" applyAlignment="1">
      <alignment horizontal="center"/>
    </xf>
    <xf numFmtId="0" fontId="29" fillId="0" borderId="33" xfId="0" applyFont="1" applyBorder="1"/>
    <xf numFmtId="44" fontId="29" fillId="0" borderId="1" xfId="0" applyNumberFormat="1" applyFont="1" applyBorder="1"/>
    <xf numFmtId="44" fontId="29" fillId="2" borderId="1" xfId="0" applyNumberFormat="1" applyFont="1" applyFill="1" applyBorder="1"/>
    <xf numFmtId="44" fontId="29" fillId="5" borderId="1" xfId="0" applyNumberFormat="1" applyFont="1" applyFill="1" applyBorder="1"/>
    <xf numFmtId="44" fontId="25" fillId="3" borderId="34" xfId="12" applyNumberFormat="1" applyFont="1" applyBorder="1"/>
    <xf numFmtId="0" fontId="29" fillId="0" borderId="23" xfId="0" applyFont="1" applyBorder="1"/>
    <xf numFmtId="0" fontId="29" fillId="0" borderId="21" xfId="0" applyFont="1" applyBorder="1" applyAlignment="1">
      <alignment horizontal="center"/>
    </xf>
    <xf numFmtId="0" fontId="29" fillId="6" borderId="21" xfId="0" applyFont="1" applyFill="1" applyBorder="1"/>
    <xf numFmtId="0" fontId="29" fillId="6" borderId="24" xfId="0" applyFont="1" applyFill="1" applyBorder="1"/>
    <xf numFmtId="44" fontId="29" fillId="0" borderId="31" xfId="0" applyNumberFormat="1" applyFont="1" applyBorder="1"/>
    <xf numFmtId="167" fontId="29" fillId="0" borderId="29" xfId="5" applyNumberFormat="1" applyFont="1" applyBorder="1"/>
    <xf numFmtId="167" fontId="29" fillId="2" borderId="29" xfId="5" applyNumberFormat="1" applyFont="1" applyFill="1" applyBorder="1"/>
    <xf numFmtId="167" fontId="29" fillId="5" borderId="29" xfId="5" applyNumberFormat="1" applyFont="1" applyFill="1" applyBorder="1"/>
    <xf numFmtId="167" fontId="25" fillId="3" borderId="30" xfId="5" applyNumberFormat="1" applyFont="1" applyFill="1" applyBorder="1"/>
    <xf numFmtId="167" fontId="29" fillId="0" borderId="25" xfId="5" applyNumberFormat="1" applyFont="1" applyBorder="1"/>
    <xf numFmtId="167" fontId="29" fillId="0" borderId="0" xfId="5" applyNumberFormat="1" applyFont="1"/>
    <xf numFmtId="167" fontId="29" fillId="2" borderId="0" xfId="5" applyNumberFormat="1" applyFont="1" applyFill="1"/>
    <xf numFmtId="167" fontId="29" fillId="5" borderId="0" xfId="5" applyNumberFormat="1" applyFont="1" applyFill="1"/>
    <xf numFmtId="167" fontId="25" fillId="3" borderId="5" xfId="5" applyNumberFormat="1" applyFont="1" applyFill="1" applyBorder="1"/>
    <xf numFmtId="0" fontId="29" fillId="0" borderId="0" xfId="0" applyFont="1" applyAlignment="1">
      <alignment horizontal="center"/>
    </xf>
    <xf numFmtId="0" fontId="29" fillId="0" borderId="9" xfId="0" applyFont="1" applyBorder="1"/>
    <xf numFmtId="167" fontId="29" fillId="0" borderId="6" xfId="0" applyNumberFormat="1" applyFont="1" applyBorder="1"/>
    <xf numFmtId="167" fontId="29" fillId="2" borderId="6" xfId="5" applyNumberFormat="1" applyFont="1" applyFill="1" applyBorder="1"/>
    <xf numFmtId="167" fontId="29" fillId="5" borderId="6" xfId="5" applyNumberFormat="1" applyFont="1" applyFill="1" applyBorder="1"/>
    <xf numFmtId="167" fontId="25" fillId="3" borderId="7" xfId="5" applyNumberFormat="1" applyFont="1" applyFill="1" applyBorder="1"/>
    <xf numFmtId="167" fontId="29" fillId="0" borderId="31" xfId="5" applyNumberFormat="1" applyFont="1" applyBorder="1"/>
    <xf numFmtId="0" fontId="24" fillId="4" borderId="46" xfId="0" applyFont="1" applyFill="1" applyBorder="1" applyAlignment="1">
      <alignment horizontal="center" vertical="center" wrapText="1"/>
    </xf>
    <xf numFmtId="0" fontId="29" fillId="0" borderId="12" xfId="0" applyFont="1" applyBorder="1"/>
    <xf numFmtId="164" fontId="29" fillId="0" borderId="12" xfId="0" applyNumberFormat="1" applyFont="1" applyBorder="1"/>
    <xf numFmtId="164" fontId="32" fillId="0" borderId="12" xfId="0" applyNumberFormat="1" applyFont="1" applyBorder="1"/>
    <xf numFmtId="3" fontId="32" fillId="0" borderId="12" xfId="0" applyNumberFormat="1" applyFont="1" applyBorder="1"/>
    <xf numFmtId="4" fontId="29" fillId="0" borderId="12" xfId="0" applyNumberFormat="1" applyFont="1" applyBorder="1"/>
    <xf numFmtId="166" fontId="25" fillId="0" borderId="12" xfId="0" applyNumberFormat="1" applyFont="1" applyBorder="1"/>
    <xf numFmtId="43" fontId="25" fillId="0" borderId="12" xfId="0" applyNumberFormat="1" applyFont="1" applyBorder="1"/>
    <xf numFmtId="0" fontId="29" fillId="0" borderId="20" xfId="0" applyFont="1" applyBorder="1"/>
    <xf numFmtId="164" fontId="32" fillId="0" borderId="0" xfId="0" applyNumberFormat="1" applyFont="1"/>
    <xf numFmtId="3" fontId="32" fillId="0" borderId="0" xfId="0" applyNumberFormat="1" applyFont="1"/>
    <xf numFmtId="4" fontId="29" fillId="0" borderId="0" xfId="0" applyNumberFormat="1" applyFont="1"/>
    <xf numFmtId="166" fontId="25" fillId="0" borderId="0" xfId="0" applyNumberFormat="1" applyFont="1"/>
    <xf numFmtId="43" fontId="25" fillId="0" borderId="0" xfId="0" applyNumberFormat="1" applyFont="1"/>
    <xf numFmtId="0" fontId="29" fillId="0" borderId="5" xfId="0" applyFont="1" applyBorder="1"/>
    <xf numFmtId="4" fontId="25" fillId="0" borderId="0" xfId="0" applyNumberFormat="1" applyFont="1"/>
    <xf numFmtId="164" fontId="26" fillId="0" borderId="6" xfId="0" applyNumberFormat="1" applyFont="1" applyBorder="1"/>
    <xf numFmtId="3" fontId="26" fillId="0" borderId="6" xfId="0" applyNumberFormat="1" applyFont="1" applyBorder="1"/>
    <xf numFmtId="4" fontId="25" fillId="0" borderId="6" xfId="0" applyNumberFormat="1" applyFont="1" applyBorder="1"/>
    <xf numFmtId="166" fontId="25" fillId="0" borderId="6" xfId="0" applyNumberFormat="1" applyFont="1" applyBorder="1"/>
    <xf numFmtId="43" fontId="25" fillId="0" borderId="6" xfId="0" applyNumberFormat="1" applyFont="1" applyBorder="1"/>
    <xf numFmtId="0" fontId="29" fillId="0" borderId="7" xfId="0" applyFont="1" applyBorder="1"/>
    <xf numFmtId="1" fontId="29" fillId="0" borderId="0" xfId="0" applyNumberFormat="1" applyFont="1"/>
    <xf numFmtId="0" fontId="31" fillId="4" borderId="3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/>
    </xf>
    <xf numFmtId="0" fontId="29" fillId="0" borderId="13" xfId="0" applyFont="1" applyBorder="1"/>
    <xf numFmtId="44" fontId="29" fillId="0" borderId="14" xfId="0" applyNumberFormat="1" applyFont="1" applyBorder="1"/>
    <xf numFmtId="44" fontId="29" fillId="2" borderId="14" xfId="0" applyNumberFormat="1" applyFont="1" applyFill="1" applyBorder="1"/>
    <xf numFmtId="44" fontId="29" fillId="5" borderId="14" xfId="0" applyNumberFormat="1" applyFont="1" applyFill="1" applyBorder="1"/>
    <xf numFmtId="44" fontId="25" fillId="3" borderId="15" xfId="12" applyNumberFormat="1" applyFont="1" applyBorder="1"/>
    <xf numFmtId="44" fontId="29" fillId="0" borderId="14" xfId="11" applyFont="1" applyBorder="1"/>
    <xf numFmtId="0" fontId="29" fillId="0" borderId="22" xfId="0" applyFont="1" applyBorder="1"/>
    <xf numFmtId="0" fontId="31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/>
    </xf>
    <xf numFmtId="0" fontId="30" fillId="0" borderId="6" xfId="0" applyFont="1" applyBorder="1" applyAlignment="1">
      <alignment horizontal="left"/>
    </xf>
    <xf numFmtId="0" fontId="25" fillId="0" borderId="20" xfId="0" applyFont="1" applyBorder="1"/>
    <xf numFmtId="0" fontId="25" fillId="0" borderId="7" xfId="0" applyFont="1" applyBorder="1"/>
    <xf numFmtId="0" fontId="27" fillId="6" borderId="0" xfId="13" applyFont="1" applyFill="1" applyAlignment="1">
      <alignment horizontal="left" wrapText="1"/>
    </xf>
    <xf numFmtId="164" fontId="26" fillId="0" borderId="0" xfId="0" applyNumberFormat="1" applyFont="1"/>
    <xf numFmtId="3" fontId="26" fillId="0" borderId="0" xfId="0" applyNumberFormat="1" applyFont="1"/>
    <xf numFmtId="164" fontId="26" fillId="0" borderId="12" xfId="0" applyNumberFormat="1" applyFont="1" applyBorder="1"/>
    <xf numFmtId="3" fontId="26" fillId="0" borderId="12" xfId="0" applyNumberFormat="1" applyFont="1" applyBorder="1"/>
    <xf numFmtId="4" fontId="25" fillId="0" borderId="12" xfId="0" applyNumberFormat="1" applyFont="1" applyBorder="1"/>
    <xf numFmtId="166" fontId="29" fillId="0" borderId="12" xfId="0" applyNumberFormat="1" applyFont="1" applyBorder="1"/>
    <xf numFmtId="3" fontId="29" fillId="0" borderId="12" xfId="0" applyNumberFormat="1" applyFont="1" applyBorder="1"/>
    <xf numFmtId="8" fontId="25" fillId="0" borderId="37" xfId="0" applyNumberFormat="1" applyFont="1" applyBorder="1"/>
    <xf numFmtId="164" fontId="25" fillId="0" borderId="37" xfId="0" applyNumberFormat="1" applyFont="1" applyBorder="1"/>
    <xf numFmtId="167" fontId="25" fillId="0" borderId="37" xfId="5" applyNumberFormat="1" applyFont="1" applyBorder="1"/>
    <xf numFmtId="167" fontId="25" fillId="0" borderId="37" xfId="5" applyNumberFormat="1" applyFont="1" applyFill="1" applyBorder="1"/>
    <xf numFmtId="165" fontId="25" fillId="0" borderId="37" xfId="0" applyNumberFormat="1" applyFont="1" applyBorder="1"/>
    <xf numFmtId="166" fontId="32" fillId="0" borderId="0" xfId="0" applyNumberFormat="1" applyFont="1"/>
    <xf numFmtId="3" fontId="29" fillId="0" borderId="0" xfId="0" applyNumberFormat="1" applyFont="1"/>
    <xf numFmtId="170" fontId="25" fillId="0" borderId="0" xfId="0" applyNumberFormat="1" applyFont="1"/>
    <xf numFmtId="0" fontId="29" fillId="0" borderId="6" xfId="0" applyFont="1" applyBorder="1"/>
    <xf numFmtId="166" fontId="29" fillId="0" borderId="6" xfId="0" applyNumberFormat="1" applyFont="1" applyBorder="1"/>
    <xf numFmtId="3" fontId="29" fillId="0" borderId="6" xfId="0" applyNumberFormat="1" applyFont="1" applyBorder="1"/>
    <xf numFmtId="170" fontId="25" fillId="0" borderId="6" xfId="0" applyNumberFormat="1" applyFont="1" applyBorder="1"/>
    <xf numFmtId="0" fontId="29" fillId="0" borderId="21" xfId="0" applyFont="1" applyBorder="1"/>
    <xf numFmtId="0" fontId="29" fillId="0" borderId="24" xfId="0" applyFont="1" applyBorder="1"/>
    <xf numFmtId="3" fontId="25" fillId="0" borderId="12" xfId="0" applyNumberFormat="1" applyFont="1" applyBorder="1"/>
    <xf numFmtId="167" fontId="25" fillId="0" borderId="12" xfId="0" applyNumberFormat="1" applyFont="1" applyBorder="1"/>
    <xf numFmtId="167" fontId="29" fillId="0" borderId="12" xfId="0" applyNumberFormat="1" applyFont="1" applyBorder="1"/>
    <xf numFmtId="170" fontId="29" fillId="0" borderId="12" xfId="0" applyNumberFormat="1" applyFont="1" applyBorder="1"/>
    <xf numFmtId="3" fontId="25" fillId="0" borderId="0" xfId="0" applyNumberFormat="1" applyFont="1"/>
    <xf numFmtId="167" fontId="25" fillId="0" borderId="0" xfId="0" applyNumberFormat="1" applyFont="1"/>
    <xf numFmtId="167" fontId="29" fillId="0" borderId="0" xfId="0" applyNumberFormat="1" applyFont="1"/>
    <xf numFmtId="170" fontId="29" fillId="0" borderId="0" xfId="0" applyNumberFormat="1" applyFont="1"/>
    <xf numFmtId="3" fontId="25" fillId="0" borderId="6" xfId="0" applyNumberFormat="1" applyFont="1" applyBorder="1"/>
    <xf numFmtId="167" fontId="25" fillId="0" borderId="6" xfId="0" applyNumberFormat="1" applyFont="1" applyBorder="1"/>
    <xf numFmtId="170" fontId="29" fillId="0" borderId="6" xfId="0" applyNumberFormat="1" applyFont="1" applyBorder="1"/>
    <xf numFmtId="0" fontId="30" fillId="0" borderId="6" xfId="0" applyFont="1" applyBorder="1"/>
    <xf numFmtId="44" fontId="29" fillId="0" borderId="0" xfId="11" applyFont="1" applyBorder="1"/>
    <xf numFmtId="9" fontId="25" fillId="0" borderId="12" xfId="5" applyFont="1" applyBorder="1"/>
    <xf numFmtId="170" fontId="25" fillId="0" borderId="12" xfId="0" applyNumberFormat="1" applyFont="1" applyBorder="1"/>
    <xf numFmtId="9" fontId="25" fillId="0" borderId="0" xfId="5" applyFont="1" applyBorder="1"/>
    <xf numFmtId="0" fontId="24" fillId="0" borderId="5" xfId="0" applyFont="1" applyBorder="1"/>
    <xf numFmtId="167" fontId="29" fillId="0" borderId="21" xfId="5" applyNumberFormat="1" applyFont="1" applyBorder="1"/>
    <xf numFmtId="9" fontId="25" fillId="0" borderId="12" xfId="5" applyFont="1" applyFill="1" applyBorder="1"/>
    <xf numFmtId="9" fontId="25" fillId="0" borderId="0" xfId="5" applyFont="1" applyFill="1" applyBorder="1"/>
    <xf numFmtId="9" fontId="25" fillId="0" borderId="6" xfId="5" applyFont="1" applyFill="1" applyBorder="1"/>
    <xf numFmtId="0" fontId="29" fillId="0" borderId="6" xfId="0" applyFont="1" applyBorder="1" applyAlignment="1">
      <alignment horizontal="center"/>
    </xf>
    <xf numFmtId="167" fontId="33" fillId="0" borderId="0" xfId="5" applyNumberFormat="1" applyFont="1" applyBorder="1"/>
    <xf numFmtId="167" fontId="29" fillId="2" borderId="0" xfId="5" applyNumberFormat="1" applyFont="1" applyFill="1" applyBorder="1"/>
    <xf numFmtId="167" fontId="29" fillId="5" borderId="0" xfId="5" applyNumberFormat="1" applyFont="1" applyFill="1" applyBorder="1"/>
    <xf numFmtId="166" fontId="25" fillId="0" borderId="19" xfId="0" applyNumberFormat="1" applyFont="1" applyBorder="1"/>
    <xf numFmtId="166" fontId="25" fillId="0" borderId="2" xfId="0" applyNumberFormat="1" applyFont="1" applyBorder="1"/>
    <xf numFmtId="167" fontId="25" fillId="0" borderId="0" xfId="5" applyNumberFormat="1" applyFont="1" applyFill="1" applyBorder="1" applyAlignment="1"/>
    <xf numFmtId="167" fontId="25" fillId="0" borderId="0" xfId="5" applyNumberFormat="1" applyFont="1" applyBorder="1" applyAlignment="1"/>
    <xf numFmtId="0" fontId="29" fillId="0" borderId="5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166" fontId="25" fillId="0" borderId="9" xfId="0" applyNumberFormat="1" applyFont="1" applyBorder="1"/>
    <xf numFmtId="167" fontId="29" fillId="0" borderId="12" xfId="0" applyNumberFormat="1" applyFont="1" applyBorder="1" applyAlignment="1">
      <alignment horizontal="right"/>
    </xf>
    <xf numFmtId="167" fontId="29" fillId="0" borderId="0" xfId="0" applyNumberFormat="1" applyFont="1" applyAlignment="1">
      <alignment horizontal="right"/>
    </xf>
    <xf numFmtId="167" fontId="29" fillId="0" borderId="6" xfId="0" applyNumberFormat="1" applyFont="1" applyBorder="1" applyAlignment="1">
      <alignment horizontal="right"/>
    </xf>
    <xf numFmtId="0" fontId="25" fillId="0" borderId="0" xfId="0" applyFont="1" applyAlignment="1">
      <alignment wrapText="1"/>
    </xf>
    <xf numFmtId="0" fontId="30" fillId="0" borderId="0" xfId="0" applyFont="1"/>
    <xf numFmtId="164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  <xf numFmtId="0" fontId="24" fillId="4" borderId="43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left"/>
    </xf>
    <xf numFmtId="41" fontId="25" fillId="0" borderId="12" xfId="0" applyNumberFormat="1" applyFont="1" applyBorder="1"/>
    <xf numFmtId="0" fontId="26" fillId="0" borderId="0" xfId="0" applyFont="1" applyAlignment="1">
      <alignment horizontal="left"/>
    </xf>
    <xf numFmtId="166" fontId="25" fillId="0" borderId="0" xfId="2" applyNumberFormat="1" applyFont="1" applyFill="1" applyBorder="1" applyAlignment="1"/>
    <xf numFmtId="3" fontId="25" fillId="0" borderId="0" xfId="4" applyNumberFormat="1" applyFont="1" applyFill="1" applyBorder="1" applyAlignment="1"/>
    <xf numFmtId="41" fontId="25" fillId="0" borderId="0" xfId="0" applyNumberFormat="1" applyFont="1"/>
    <xf numFmtId="166" fontId="25" fillId="0" borderId="0" xfId="4" applyNumberFormat="1" applyFont="1" applyFill="1" applyBorder="1" applyAlignment="1"/>
    <xf numFmtId="0" fontId="28" fillId="0" borderId="5" xfId="0" applyFont="1" applyBorder="1" applyAlignment="1">
      <alignment wrapText="1"/>
    </xf>
    <xf numFmtId="0" fontId="25" fillId="0" borderId="0" xfId="0" applyFont="1" applyAlignment="1">
      <alignment horizontal="left"/>
    </xf>
    <xf numFmtId="166" fontId="25" fillId="0" borderId="0" xfId="11" applyNumberFormat="1" applyFont="1" applyFill="1" applyBorder="1"/>
    <xf numFmtId="166" fontId="25" fillId="0" borderId="0" xfId="11" applyNumberFormat="1" applyFont="1" applyBorder="1"/>
    <xf numFmtId="0" fontId="25" fillId="0" borderId="6" xfId="0" applyFont="1" applyBorder="1" applyAlignment="1">
      <alignment horizontal="left"/>
    </xf>
    <xf numFmtId="41" fontId="25" fillId="0" borderId="6" xfId="0" applyNumberFormat="1" applyFont="1" applyBorder="1"/>
    <xf numFmtId="166" fontId="25" fillId="0" borderId="12" xfId="11" applyNumberFormat="1" applyFont="1" applyBorder="1"/>
    <xf numFmtId="3" fontId="25" fillId="0" borderId="12" xfId="4" applyNumberFormat="1" applyFont="1" applyFill="1" applyBorder="1" applyAlignment="1"/>
    <xf numFmtId="166" fontId="25" fillId="0" borderId="12" xfId="4" applyNumberFormat="1" applyFont="1" applyFill="1" applyBorder="1" applyAlignment="1"/>
    <xf numFmtId="0" fontId="26" fillId="0" borderId="6" xfId="0" applyFont="1" applyBorder="1" applyAlignment="1">
      <alignment horizontal="left"/>
    </xf>
    <xf numFmtId="166" fontId="25" fillId="0" borderId="6" xfId="4" applyNumberFormat="1" applyFont="1" applyFill="1" applyBorder="1" applyAlignment="1"/>
    <xf numFmtId="0" fontId="29" fillId="0" borderId="0" xfId="0" applyFont="1" applyAlignment="1">
      <alignment horizontal="left"/>
    </xf>
    <xf numFmtId="165" fontId="29" fillId="0" borderId="0" xfId="0" applyNumberFormat="1" applyFont="1"/>
    <xf numFmtId="44" fontId="25" fillId="7" borderId="15" xfId="12" applyNumberFormat="1" applyFont="1" applyFill="1" applyBorder="1"/>
    <xf numFmtId="0" fontId="24" fillId="4" borderId="11" xfId="0" applyFont="1" applyFill="1" applyBorder="1" applyAlignment="1">
      <alignment horizontal="center" vertical="center"/>
    </xf>
    <xf numFmtId="1" fontId="24" fillId="4" borderId="44" xfId="0" applyNumberFormat="1" applyFont="1" applyFill="1" applyBorder="1" applyAlignment="1">
      <alignment horizontal="center" vertical="center"/>
    </xf>
    <xf numFmtId="169" fontId="24" fillId="4" borderId="44" xfId="11" applyNumberFormat="1" applyFont="1" applyFill="1" applyBorder="1" applyAlignment="1">
      <alignment horizontal="center" vertical="center"/>
    </xf>
    <xf numFmtId="38" fontId="24" fillId="4" borderId="46" xfId="0" applyNumberFormat="1" applyFont="1" applyFill="1" applyBorder="1" applyAlignment="1">
      <alignment horizontal="center" vertical="center"/>
    </xf>
    <xf numFmtId="0" fontId="29" fillId="0" borderId="19" xfId="0" applyFont="1" applyBorder="1"/>
    <xf numFmtId="3" fontId="29" fillId="0" borderId="12" xfId="4" applyNumberFormat="1" applyFont="1" applyFill="1" applyBorder="1" applyAlignment="1"/>
    <xf numFmtId="9" fontId="29" fillId="0" borderId="12" xfId="0" applyNumberFormat="1" applyFont="1" applyBorder="1"/>
    <xf numFmtId="165" fontId="29" fillId="0" borderId="12" xfId="0" applyNumberFormat="1" applyFont="1" applyBorder="1"/>
    <xf numFmtId="3" fontId="29" fillId="0" borderId="0" xfId="4" applyNumberFormat="1" applyFont="1" applyFill="1" applyBorder="1" applyAlignment="1"/>
    <xf numFmtId="165" fontId="25" fillId="0" borderId="0" xfId="5" applyNumberFormat="1" applyFont="1" applyBorder="1"/>
    <xf numFmtId="165" fontId="25" fillId="0" borderId="6" xfId="5" applyNumberFormat="1" applyFont="1" applyBorder="1"/>
    <xf numFmtId="167" fontId="25" fillId="0" borderId="7" xfId="5" applyNumberFormat="1" applyFont="1" applyBorder="1"/>
    <xf numFmtId="0" fontId="29" fillId="0" borderId="16" xfId="0" applyFont="1" applyBorder="1"/>
    <xf numFmtId="44" fontId="29" fillId="0" borderId="17" xfId="11" applyFont="1" applyBorder="1"/>
    <xf numFmtId="44" fontId="29" fillId="2" borderId="17" xfId="0" applyNumberFormat="1" applyFont="1" applyFill="1" applyBorder="1"/>
    <xf numFmtId="44" fontId="29" fillId="5" borderId="17" xfId="0" applyNumberFormat="1" applyFont="1" applyFill="1" applyBorder="1"/>
    <xf numFmtId="44" fontId="25" fillId="3" borderId="18" xfId="12" applyNumberFormat="1" applyFont="1" applyBorder="1"/>
    <xf numFmtId="0" fontId="25" fillId="0" borderId="23" xfId="0" applyFont="1" applyBorder="1"/>
    <xf numFmtId="0" fontId="25" fillId="0" borderId="21" xfId="0" applyFont="1" applyBorder="1"/>
    <xf numFmtId="1" fontId="25" fillId="0" borderId="21" xfId="0" applyNumberFormat="1" applyFont="1" applyBorder="1"/>
    <xf numFmtId="166" fontId="25" fillId="0" borderId="21" xfId="0" applyNumberFormat="1" applyFont="1" applyBorder="1"/>
    <xf numFmtId="3" fontId="25" fillId="0" borderId="21" xfId="0" applyNumberFormat="1" applyFont="1" applyBorder="1"/>
    <xf numFmtId="41" fontId="25" fillId="0" borderId="21" xfId="0" applyNumberFormat="1" applyFont="1" applyBorder="1"/>
    <xf numFmtId="164" fontId="25" fillId="0" borderId="21" xfId="0" applyNumberFormat="1" applyFont="1" applyBorder="1"/>
    <xf numFmtId="9" fontId="25" fillId="0" borderId="21" xfId="0" applyNumberFormat="1" applyFont="1" applyBorder="1"/>
    <xf numFmtId="165" fontId="25" fillId="0" borderId="21" xfId="0" applyNumberFormat="1" applyFont="1" applyBorder="1"/>
    <xf numFmtId="0" fontId="28" fillId="0" borderId="24" xfId="0" applyFont="1" applyBorder="1"/>
    <xf numFmtId="0" fontId="25" fillId="0" borderId="12" xfId="0" applyFont="1" applyBorder="1" applyAlignment="1">
      <alignment horizontal="left"/>
    </xf>
    <xf numFmtId="0" fontId="25" fillId="0" borderId="39" xfId="0" applyFont="1" applyBorder="1"/>
    <xf numFmtId="167" fontId="29" fillId="0" borderId="12" xfId="5" applyNumberFormat="1" applyFont="1" applyFill="1" applyBorder="1" applyAlignment="1"/>
    <xf numFmtId="0" fontId="32" fillId="0" borderId="0" xfId="0" applyFont="1"/>
    <xf numFmtId="164" fontId="32" fillId="0" borderId="0" xfId="1" applyNumberFormat="1" applyFont="1" applyFill="1" applyBorder="1" applyAlignment="1"/>
    <xf numFmtId="3" fontId="32" fillId="0" borderId="0" xfId="4" applyNumberFormat="1" applyFont="1" applyFill="1" applyBorder="1" applyAlignment="1"/>
    <xf numFmtId="167" fontId="29" fillId="0" borderId="0" xfId="5" applyNumberFormat="1" applyFont="1" applyFill="1" applyBorder="1" applyAlignment="1"/>
    <xf numFmtId="164" fontId="32" fillId="0" borderId="0" xfId="2" applyNumberFormat="1" applyFont="1" applyFill="1" applyBorder="1" applyAlignment="1"/>
    <xf numFmtId="164" fontId="29" fillId="0" borderId="0" xfId="1" applyNumberFormat="1" applyFont="1" applyFill="1" applyBorder="1" applyAlignment="1"/>
    <xf numFmtId="168" fontId="29" fillId="0" borderId="0" xfId="4" applyNumberFormat="1" applyFont="1" applyFill="1" applyBorder="1" applyAlignment="1"/>
    <xf numFmtId="166" fontId="29" fillId="0" borderId="0" xfId="4" applyNumberFormat="1" applyFont="1" applyFill="1" applyBorder="1" applyAlignment="1"/>
    <xf numFmtId="164" fontId="29" fillId="0" borderId="0" xfId="4" applyNumberFormat="1" applyFont="1" applyFill="1" applyBorder="1" applyAlignment="1"/>
    <xf numFmtId="3" fontId="29" fillId="0" borderId="0" xfId="4" applyNumberFormat="1" applyFont="1" applyFill="1" applyAlignment="1"/>
    <xf numFmtId="164" fontId="29" fillId="0" borderId="0" xfId="11" applyNumberFormat="1" applyFont="1" applyFill="1"/>
    <xf numFmtId="6" fontId="29" fillId="0" borderId="0" xfId="0" applyNumberFormat="1" applyFont="1"/>
    <xf numFmtId="8" fontId="29" fillId="0" borderId="0" xfId="0" applyNumberFormat="1" applyFont="1"/>
    <xf numFmtId="10" fontId="29" fillId="0" borderId="0" xfId="0" applyNumberFormat="1" applyFont="1"/>
    <xf numFmtId="10" fontId="29" fillId="0" borderId="0" xfId="5" applyNumberFormat="1" applyFont="1"/>
    <xf numFmtId="44" fontId="25" fillId="0" borderId="12" xfId="11" applyFont="1" applyBorder="1"/>
    <xf numFmtId="170" fontId="25" fillId="0" borderId="12" xfId="4" applyNumberFormat="1" applyFont="1" applyBorder="1"/>
    <xf numFmtId="44" fontId="25" fillId="0" borderId="0" xfId="11" applyFont="1" applyBorder="1"/>
    <xf numFmtId="170" fontId="25" fillId="0" borderId="0" xfId="4" applyNumberFormat="1" applyFont="1" applyBorder="1"/>
    <xf numFmtId="0" fontId="28" fillId="0" borderId="0" xfId="0" applyFont="1" applyAlignment="1">
      <alignment horizontal="left"/>
    </xf>
    <xf numFmtId="0" fontId="12" fillId="0" borderId="0" xfId="0" applyFont="1"/>
    <xf numFmtId="0" fontId="27" fillId="0" borderId="0" xfId="13" applyFont="1"/>
    <xf numFmtId="0" fontId="27" fillId="6" borderId="0" xfId="13" applyFont="1" applyFill="1"/>
    <xf numFmtId="165" fontId="25" fillId="0" borderId="20" xfId="0" applyNumberFormat="1" applyFont="1" applyBorder="1"/>
    <xf numFmtId="165" fontId="25" fillId="0" borderId="5" xfId="0" applyNumberFormat="1" applyFont="1" applyBorder="1"/>
    <xf numFmtId="170" fontId="29" fillId="0" borderId="5" xfId="0" applyNumberFormat="1" applyFont="1" applyBorder="1"/>
    <xf numFmtId="43" fontId="25" fillId="0" borderId="5" xfId="0" applyNumberFormat="1" applyFont="1" applyBorder="1"/>
    <xf numFmtId="165" fontId="25" fillId="0" borderId="12" xfId="5" applyNumberFormat="1" applyFont="1" applyFill="1" applyBorder="1"/>
    <xf numFmtId="165" fontId="25" fillId="0" borderId="0" xfId="5" applyNumberFormat="1" applyFont="1" applyFill="1" applyBorder="1"/>
    <xf numFmtId="164" fontId="25" fillId="0" borderId="0" xfId="11" applyNumberFormat="1" applyFont="1" applyBorder="1"/>
    <xf numFmtId="170" fontId="25" fillId="0" borderId="5" xfId="4" applyNumberFormat="1" applyFont="1" applyBorder="1"/>
    <xf numFmtId="164" fontId="25" fillId="0" borderId="6" xfId="11" applyNumberFormat="1" applyFont="1" applyBorder="1"/>
    <xf numFmtId="166" fontId="25" fillId="0" borderId="0" xfId="11" applyNumberFormat="1" applyFont="1" applyBorder="1" applyAlignment="1"/>
    <xf numFmtId="0" fontId="23" fillId="6" borderId="0" xfId="13" applyFont="1" applyFill="1"/>
    <xf numFmtId="9" fontId="29" fillId="0" borderId="0" xfId="0" applyNumberFormat="1" applyFont="1"/>
    <xf numFmtId="164" fontId="29" fillId="2" borderId="0" xfId="0" applyNumberFormat="1" applyFont="1" applyFill="1"/>
    <xf numFmtId="3" fontId="25" fillId="0" borderId="6" xfId="4" applyNumberFormat="1" applyFont="1" applyFill="1" applyBorder="1" applyAlignment="1"/>
    <xf numFmtId="0" fontId="27" fillId="6" borderId="0" xfId="13" applyFont="1" applyFill="1" applyAlignment="1">
      <alignment horizontal="left"/>
    </xf>
    <xf numFmtId="167" fontId="25" fillId="0" borderId="12" xfId="5" applyNumberFormat="1" applyFont="1" applyFill="1" applyBorder="1" applyAlignment="1"/>
    <xf numFmtId="167" fontId="25" fillId="0" borderId="12" xfId="5" applyNumberFormat="1" applyFont="1" applyBorder="1" applyAlignment="1"/>
    <xf numFmtId="0" fontId="25" fillId="0" borderId="20" xfId="0" applyFont="1" applyBorder="1" applyAlignment="1">
      <alignment horizontal="left"/>
    </xf>
    <xf numFmtId="167" fontId="25" fillId="0" borderId="6" xfId="5" applyNumberFormat="1" applyFont="1" applyFill="1" applyBorder="1" applyAlignment="1"/>
    <xf numFmtId="167" fontId="25" fillId="0" borderId="6" xfId="5" applyNumberFormat="1" applyFont="1" applyBorder="1" applyAlignment="1"/>
    <xf numFmtId="0" fontId="25" fillId="0" borderId="7" xfId="0" applyFont="1" applyBorder="1" applyAlignment="1">
      <alignment horizontal="left"/>
    </xf>
    <xf numFmtId="165" fontId="25" fillId="0" borderId="0" xfId="5" applyNumberFormat="1" applyFont="1" applyFill="1" applyBorder="1" applyAlignment="1"/>
    <xf numFmtId="167" fontId="29" fillId="0" borderId="6" xfId="5" applyNumberFormat="1" applyFont="1" applyBorder="1"/>
    <xf numFmtId="167" fontId="11" fillId="0" borderId="6" xfId="5" applyNumberFormat="1" applyFont="1" applyBorder="1"/>
    <xf numFmtId="0" fontId="16" fillId="0" borderId="23" xfId="0" applyFont="1" applyBorder="1"/>
    <xf numFmtId="0" fontId="4" fillId="0" borderId="21" xfId="0" applyFont="1" applyBorder="1"/>
    <xf numFmtId="167" fontId="16" fillId="0" borderId="21" xfId="5" applyNumberFormat="1" applyFont="1" applyBorder="1"/>
    <xf numFmtId="164" fontId="4" fillId="0" borderId="21" xfId="0" applyNumberFormat="1" applyFont="1" applyBorder="1"/>
    <xf numFmtId="3" fontId="4" fillId="0" borderId="21" xfId="0" applyNumberFormat="1" applyFont="1" applyBorder="1"/>
    <xf numFmtId="4" fontId="4" fillId="0" borderId="21" xfId="0" applyNumberFormat="1" applyFont="1" applyBorder="1"/>
    <xf numFmtId="166" fontId="16" fillId="0" borderId="21" xfId="0" applyNumberFormat="1" applyFont="1" applyBorder="1"/>
    <xf numFmtId="44" fontId="16" fillId="0" borderId="21" xfId="11" applyFont="1" applyBorder="1"/>
    <xf numFmtId="170" fontId="16" fillId="0" borderId="21" xfId="4" applyNumberFormat="1" applyFont="1" applyBorder="1"/>
    <xf numFmtId="0" fontId="11" fillId="0" borderId="24" xfId="0" applyFont="1" applyBorder="1"/>
    <xf numFmtId="4" fontId="4" fillId="0" borderId="6" xfId="0" applyNumberFormat="1" applyFont="1" applyBorder="1"/>
    <xf numFmtId="169" fontId="14" fillId="4" borderId="40" xfId="11" applyNumberFormat="1" applyFont="1" applyFill="1" applyBorder="1" applyAlignment="1">
      <alignment horizontal="center" vertical="center" wrapText="1"/>
    </xf>
    <xf numFmtId="0" fontId="0" fillId="0" borderId="50" xfId="0" applyBorder="1"/>
    <xf numFmtId="0" fontId="23" fillId="6" borderId="35" xfId="13" applyFont="1" applyFill="1" applyBorder="1"/>
    <xf numFmtId="170" fontId="16" fillId="0" borderId="50" xfId="4" applyNumberFormat="1" applyFont="1" applyBorder="1"/>
    <xf numFmtId="0" fontId="16" fillId="0" borderId="21" xfId="0" applyFont="1" applyBorder="1"/>
    <xf numFmtId="166" fontId="16" fillId="0" borderId="21" xfId="11" applyNumberFormat="1" applyFont="1" applyBorder="1"/>
    <xf numFmtId="6" fontId="16" fillId="0" borderId="21" xfId="0" applyNumberFormat="1" applyFont="1" applyBorder="1"/>
    <xf numFmtId="164" fontId="16" fillId="0" borderId="21" xfId="0" applyNumberFormat="1" applyFont="1" applyBorder="1"/>
    <xf numFmtId="9" fontId="16" fillId="0" borderId="21" xfId="0" applyNumberFormat="1" applyFont="1" applyBorder="1"/>
    <xf numFmtId="167" fontId="16" fillId="0" borderId="21" xfId="0" applyNumberFormat="1" applyFont="1" applyBorder="1"/>
    <xf numFmtId="0" fontId="16" fillId="0" borderId="24" xfId="0" applyFont="1" applyBorder="1"/>
    <xf numFmtId="0" fontId="15" fillId="6" borderId="0" xfId="13" applyFont="1" applyFill="1" applyAlignment="1">
      <alignment horizontal="left"/>
    </xf>
    <xf numFmtId="0" fontId="30" fillId="0" borderId="6" xfId="0" applyFont="1" applyBorder="1" applyAlignment="1">
      <alignment horizontal="left"/>
    </xf>
    <xf numFmtId="0" fontId="15" fillId="6" borderId="0" xfId="13" applyFont="1" applyFill="1" applyAlignment="1">
      <alignment horizontal="left" wrapText="1"/>
    </xf>
    <xf numFmtId="0" fontId="30" fillId="0" borderId="6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6" borderId="36" xfId="13" applyFont="1" applyFill="1" applyBorder="1" applyAlignment="1">
      <alignment horizontal="left"/>
    </xf>
    <xf numFmtId="0" fontId="15" fillId="6" borderId="37" xfId="13" applyFont="1" applyFill="1" applyBorder="1" applyAlignment="1">
      <alignment horizontal="left"/>
    </xf>
    <xf numFmtId="0" fontId="29" fillId="0" borderId="6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7" fillId="6" borderId="0" xfId="13" applyFont="1" applyFill="1" applyAlignment="1">
      <alignment wrapText="1"/>
    </xf>
    <xf numFmtId="0" fontId="27" fillId="6" borderId="0" xfId="13" applyFont="1" applyFill="1" applyAlignment="1">
      <alignment horizontal="center"/>
    </xf>
  </cellXfs>
  <cellStyles count="15">
    <cellStyle name="Bad" xfId="12" builtinId="27"/>
    <cellStyle name="Comma" xfId="4" builtinId="3"/>
    <cellStyle name="Comma 2" xfId="2" xr:uid="{D1291356-2CF8-4B3F-96C0-097DE07FEFE6}"/>
    <cellStyle name="Comma 2 2" xfId="8" xr:uid="{7DC4E1FB-3810-4861-9637-88E635C466BF}"/>
    <cellStyle name="Comma 3" xfId="3" xr:uid="{D5ADF4DA-1BFE-4026-B221-ACA4BBE30618}"/>
    <cellStyle name="Currency" xfId="11" builtinId="4"/>
    <cellStyle name="Currency 2" xfId="1" xr:uid="{DF5B7D01-3A8D-4028-915E-A9560AD2A06F}"/>
    <cellStyle name="Currency 85" xfId="10" xr:uid="{70326EF5-B639-41F1-8594-225E0690CFAF}"/>
    <cellStyle name="Normal" xfId="0" builtinId="0"/>
    <cellStyle name="Normal 2" xfId="14" xr:uid="{9935D6D6-6E1C-4EC2-8C35-DA02962FA308}"/>
    <cellStyle name="Normal 2 2" xfId="6" xr:uid="{9F144BAE-6F55-427B-9C1E-AF17A3CF116A}"/>
    <cellStyle name="Normal 3 2" xfId="7" xr:uid="{302C9DE7-9A16-4076-860F-301B86C48CF8}"/>
    <cellStyle name="Normal_Raw - Rte-Year" xfId="13" xr:uid="{D73EAA97-7747-4E8D-AD78-8553A982DBB5}"/>
    <cellStyle name="Percent" xfId="5" builtinId="5"/>
    <cellStyle name="Percent 2" xfId="9" xr:uid="{FD1F2722-99BC-4A63-AB9E-1BEC38177F41}"/>
  </cellStyles>
  <dxfs count="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border>
        <bottom style="dotted">
          <color auto="1"/>
        </bottom>
        <vertical/>
        <horizontal/>
      </border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theme="7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C7CE"/>
      <color rgb="FFDBE5F1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30F2-5540-4846-ADF8-D32AEEFA229B}">
  <dimension ref="A1:T113"/>
  <sheetViews>
    <sheetView tabSelected="1" topLeftCell="A2" zoomScale="90" zoomScaleNormal="90" workbookViewId="0">
      <pane xSplit="2" ySplit="2" topLeftCell="C4" activePane="bottomRight" state="frozen"/>
      <selection activeCell="A2" sqref="A2"/>
      <selection pane="topRight" activeCell="C2" sqref="C2"/>
      <selection pane="bottomLeft" activeCell="A4" sqref="A4"/>
      <selection pane="bottomRight" activeCell="F44" sqref="F44"/>
    </sheetView>
  </sheetViews>
  <sheetFormatPr defaultRowHeight="15" x14ac:dyDescent="0.25"/>
  <cols>
    <col min="1" max="1" width="25.42578125" customWidth="1"/>
    <col min="2" max="2" width="10.140625" customWidth="1"/>
    <col min="3" max="3" width="10.7109375" customWidth="1"/>
    <col min="4" max="4" width="18.85546875" customWidth="1"/>
    <col min="5" max="5" width="10.7109375" customWidth="1"/>
    <col min="6" max="6" width="15.5703125" customWidth="1"/>
    <col min="7" max="7" width="13.85546875" customWidth="1"/>
    <col min="8" max="8" width="13.140625" customWidth="1"/>
    <col min="9" max="9" width="12.5703125" bestFit="1" customWidth="1"/>
    <col min="10" max="10" width="16.28515625" bestFit="1" customWidth="1"/>
    <col min="11" max="11" width="13.5703125" customWidth="1"/>
    <col min="12" max="14" width="14.140625" customWidth="1"/>
    <col min="15" max="15" width="13.140625" customWidth="1"/>
    <col min="16" max="16" width="44.140625" style="4" customWidth="1"/>
    <col min="17" max="17" width="16.42578125" bestFit="1" customWidth="1"/>
    <col min="18" max="18" width="20.85546875" bestFit="1" customWidth="1"/>
    <col min="19" max="19" width="26.7109375" bestFit="1" customWidth="1"/>
    <col min="20" max="20" width="19.7109375" bestFit="1" customWidth="1"/>
  </cols>
  <sheetData>
    <row r="1" spans="1:16" ht="22.5" x14ac:dyDescent="0.45">
      <c r="A1" s="9" t="s">
        <v>26</v>
      </c>
    </row>
    <row r="2" spans="1:16" ht="37.5" thickBot="1" x14ac:dyDescent="0.75">
      <c r="A2" s="470" t="s">
        <v>78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17"/>
    </row>
    <row r="3" spans="1:16" s="4" customFormat="1" ht="60.75" thickBot="1" x14ac:dyDescent="0.3">
      <c r="A3" s="152" t="s">
        <v>7</v>
      </c>
      <c r="B3" s="153" t="s">
        <v>60</v>
      </c>
      <c r="C3" s="154" t="s">
        <v>50</v>
      </c>
      <c r="D3" s="154" t="s">
        <v>0</v>
      </c>
      <c r="E3" s="155" t="s">
        <v>1</v>
      </c>
      <c r="F3" s="155" t="s">
        <v>2</v>
      </c>
      <c r="G3" s="155" t="s">
        <v>27</v>
      </c>
      <c r="H3" s="156" t="s">
        <v>29</v>
      </c>
      <c r="I3" s="156" t="s">
        <v>42</v>
      </c>
      <c r="J3" s="157" t="s">
        <v>28</v>
      </c>
      <c r="K3" s="158" t="s">
        <v>11</v>
      </c>
      <c r="L3" s="158" t="s">
        <v>48</v>
      </c>
      <c r="M3" s="159" t="s">
        <v>69</v>
      </c>
      <c r="N3" s="159" t="s">
        <v>71</v>
      </c>
      <c r="O3" s="160" t="s">
        <v>31</v>
      </c>
      <c r="P3" s="152" t="s">
        <v>32</v>
      </c>
    </row>
    <row r="4" spans="1:16" x14ac:dyDescent="0.25">
      <c r="A4" s="161" t="s">
        <v>101</v>
      </c>
      <c r="B4" s="162">
        <v>781</v>
      </c>
      <c r="C4" s="162"/>
      <c r="D4" s="162" t="s">
        <v>46</v>
      </c>
      <c r="E4" s="162" t="s">
        <v>23</v>
      </c>
      <c r="F4" s="163">
        <v>1405733.9877523249</v>
      </c>
      <c r="G4" s="163">
        <v>397700</v>
      </c>
      <c r="H4" s="164">
        <v>141775</v>
      </c>
      <c r="I4" s="164">
        <v>4767</v>
      </c>
      <c r="J4" s="163">
        <f t="shared" ref="J4:J19" si="0">+F4-G4</f>
        <v>1008033.9877523249</v>
      </c>
      <c r="K4" s="165">
        <f t="shared" ref="K4:K49" si="1">+J4/H4</f>
        <v>7.1100968982706743</v>
      </c>
      <c r="L4" s="166">
        <f t="shared" ref="L4:L49" si="2">+IF(E4="Weekdays",K4/$G$65,IF(E4="Saturdays",K4/$G$66,IF(E4="Sundays",K4/$G$67,"NA")))</f>
        <v>0.28865790518097734</v>
      </c>
      <c r="M4" s="167">
        <f t="shared" ref="M4:M49" si="3">G4/F4</f>
        <v>0.28291270145349179</v>
      </c>
      <c r="N4" s="166">
        <f t="shared" ref="N4:N49" si="4">+IF(E4="Weekdays",M4/$G$71,IF(E4="Saturdays",M4/$G$72,IF(E4="Sundays",M4/$G$73,"NA")))</f>
        <v>3.0446209319545186</v>
      </c>
      <c r="O4" s="168">
        <f t="shared" ref="O4:O49" si="5">+H4/I4</f>
        <v>29.740927207887559</v>
      </c>
      <c r="P4" s="285"/>
    </row>
    <row r="5" spans="1:16" x14ac:dyDescent="0.25">
      <c r="A5" s="170" t="s">
        <v>101</v>
      </c>
      <c r="B5" s="171">
        <v>784</v>
      </c>
      <c r="C5" s="171"/>
      <c r="D5" s="172" t="s">
        <v>46</v>
      </c>
      <c r="E5" s="171" t="s">
        <v>23</v>
      </c>
      <c r="F5" s="173">
        <v>439804.14062145608</v>
      </c>
      <c r="G5" s="173">
        <v>69225</v>
      </c>
      <c r="H5" s="174">
        <v>25098</v>
      </c>
      <c r="I5" s="174">
        <v>1605</v>
      </c>
      <c r="J5" s="173">
        <f t="shared" si="0"/>
        <v>370579.14062145608</v>
      </c>
      <c r="K5" s="175">
        <f t="shared" si="1"/>
        <v>14.765285704895055</v>
      </c>
      <c r="L5" s="176">
        <f t="shared" si="2"/>
        <v>0.59944561965256382</v>
      </c>
      <c r="M5" s="177">
        <f t="shared" si="3"/>
        <v>0.15739960952205465</v>
      </c>
      <c r="N5" s="176">
        <f t="shared" si="4"/>
        <v>1.6938869954239046</v>
      </c>
      <c r="O5" s="178">
        <f t="shared" si="5"/>
        <v>15.637383177570094</v>
      </c>
      <c r="P5" s="180"/>
    </row>
    <row r="6" spans="1:16" x14ac:dyDescent="0.25">
      <c r="A6" s="170" t="s">
        <v>101</v>
      </c>
      <c r="B6" s="172">
        <v>785</v>
      </c>
      <c r="C6" s="172"/>
      <c r="D6" s="172" t="s">
        <v>46</v>
      </c>
      <c r="E6" s="172" t="s">
        <v>23</v>
      </c>
      <c r="F6" s="173">
        <v>528823.08346563845</v>
      </c>
      <c r="G6" s="173">
        <v>129331</v>
      </c>
      <c r="H6" s="174">
        <v>51205</v>
      </c>
      <c r="I6" s="174">
        <v>1806</v>
      </c>
      <c r="J6" s="173">
        <f t="shared" si="0"/>
        <v>399492.08346563845</v>
      </c>
      <c r="K6" s="175">
        <f t="shared" si="1"/>
        <v>7.8018178589129663</v>
      </c>
      <c r="L6" s="176">
        <f t="shared" si="2"/>
        <v>0.31674060592691811</v>
      </c>
      <c r="M6" s="177">
        <f t="shared" si="3"/>
        <v>0.24456383248709601</v>
      </c>
      <c r="N6" s="176">
        <f t="shared" si="4"/>
        <v>2.6319220019594525</v>
      </c>
      <c r="O6" s="178">
        <f t="shared" si="5"/>
        <v>28.352713178294575</v>
      </c>
      <c r="P6" s="180"/>
    </row>
    <row r="7" spans="1:16" x14ac:dyDescent="0.25">
      <c r="A7" s="170" t="s">
        <v>101</v>
      </c>
      <c r="B7" s="171">
        <v>789</v>
      </c>
      <c r="C7" s="171"/>
      <c r="D7" s="172" t="s">
        <v>46</v>
      </c>
      <c r="E7" s="171" t="s">
        <v>23</v>
      </c>
      <c r="F7" s="173">
        <v>197147.78816058062</v>
      </c>
      <c r="G7" s="173">
        <v>63696</v>
      </c>
      <c r="H7" s="174">
        <v>24678</v>
      </c>
      <c r="I7" s="174">
        <v>640</v>
      </c>
      <c r="J7" s="173">
        <f t="shared" si="0"/>
        <v>133451.78816058062</v>
      </c>
      <c r="K7" s="175">
        <f t="shared" si="1"/>
        <v>5.4077229986457827</v>
      </c>
      <c r="L7" s="176">
        <f t="shared" si="2"/>
        <v>0.21954440493880589</v>
      </c>
      <c r="M7" s="177">
        <f t="shared" si="3"/>
        <v>0.32308757097552826</v>
      </c>
      <c r="N7" s="176">
        <f t="shared" si="4"/>
        <v>3.476970727693335</v>
      </c>
      <c r="O7" s="178">
        <f t="shared" si="5"/>
        <v>38.559375000000003</v>
      </c>
      <c r="P7" s="180"/>
    </row>
    <row r="8" spans="1:16" x14ac:dyDescent="0.25">
      <c r="A8" s="170" t="s">
        <v>77</v>
      </c>
      <c r="B8" s="172">
        <v>94</v>
      </c>
      <c r="C8" s="172"/>
      <c r="D8" s="172" t="s">
        <v>46</v>
      </c>
      <c r="E8" s="172" t="s">
        <v>23</v>
      </c>
      <c r="F8" s="173">
        <v>6147387.909</v>
      </c>
      <c r="G8" s="173">
        <v>499927.51160000003</v>
      </c>
      <c r="H8" s="174">
        <v>312952</v>
      </c>
      <c r="I8" s="174">
        <v>12820.51</v>
      </c>
      <c r="J8" s="173">
        <f t="shared" si="0"/>
        <v>5647460.3974000001</v>
      </c>
      <c r="K8" s="175">
        <f t="shared" si="1"/>
        <v>18.045771867251208</v>
      </c>
      <c r="L8" s="176">
        <f t="shared" si="2"/>
        <v>0.73262780790533244</v>
      </c>
      <c r="M8" s="177">
        <f t="shared" si="3"/>
        <v>8.132356685480803E-2</v>
      </c>
      <c r="N8" s="176">
        <f t="shared" si="4"/>
        <v>0.8751796318627082</v>
      </c>
      <c r="O8" s="178">
        <f t="shared" si="5"/>
        <v>24.410261370257501</v>
      </c>
      <c r="P8" s="179"/>
    </row>
    <row r="9" spans="1:16" x14ac:dyDescent="0.25">
      <c r="A9" s="170" t="s">
        <v>77</v>
      </c>
      <c r="B9" s="171">
        <v>113</v>
      </c>
      <c r="C9" s="171"/>
      <c r="D9" s="172" t="s">
        <v>46</v>
      </c>
      <c r="E9" s="171" t="s">
        <v>23</v>
      </c>
      <c r="F9" s="173">
        <v>681656.0122</v>
      </c>
      <c r="G9" s="173">
        <v>59560.314989999999</v>
      </c>
      <c r="H9" s="174">
        <v>42776</v>
      </c>
      <c r="I9" s="174">
        <v>1422.94</v>
      </c>
      <c r="J9" s="173">
        <f t="shared" si="0"/>
        <v>622095.69721000001</v>
      </c>
      <c r="K9" s="175">
        <f t="shared" si="1"/>
        <v>14.543101206517674</v>
      </c>
      <c r="L9" s="176">
        <f t="shared" si="2"/>
        <v>0.59042530491101652</v>
      </c>
      <c r="M9" s="177">
        <f t="shared" si="3"/>
        <v>8.7375910905227686E-2</v>
      </c>
      <c r="N9" s="176">
        <f t="shared" si="4"/>
        <v>0.94031312812719925</v>
      </c>
      <c r="O9" s="178">
        <f t="shared" si="5"/>
        <v>30.061703234149014</v>
      </c>
      <c r="P9" s="179"/>
    </row>
    <row r="10" spans="1:16" x14ac:dyDescent="0.25">
      <c r="A10" s="170" t="s">
        <v>77</v>
      </c>
      <c r="B10" s="172">
        <v>114</v>
      </c>
      <c r="C10" s="172"/>
      <c r="D10" s="172" t="s">
        <v>46</v>
      </c>
      <c r="E10" s="172" t="s">
        <v>23</v>
      </c>
      <c r="F10" s="173">
        <v>782447.77190000005</v>
      </c>
      <c r="G10" s="173">
        <v>71985.469150000004</v>
      </c>
      <c r="H10" s="174">
        <v>50922</v>
      </c>
      <c r="I10" s="174">
        <v>1619.3200000000099</v>
      </c>
      <c r="J10" s="173">
        <f t="shared" si="0"/>
        <v>710462.30275000003</v>
      </c>
      <c r="K10" s="175">
        <f t="shared" si="1"/>
        <v>13.951971696908998</v>
      </c>
      <c r="L10" s="176">
        <f t="shared" si="2"/>
        <v>0.56642644689604338</v>
      </c>
      <c r="M10" s="177">
        <f t="shared" si="3"/>
        <v>9.2000350355908533E-2</v>
      </c>
      <c r="N10" s="176">
        <f t="shared" si="4"/>
        <v>0.99007994692947821</v>
      </c>
      <c r="O10" s="178">
        <f t="shared" si="5"/>
        <v>31.446533112664383</v>
      </c>
      <c r="P10" s="179"/>
    </row>
    <row r="11" spans="1:16" x14ac:dyDescent="0.25">
      <c r="A11" s="170" t="s">
        <v>77</v>
      </c>
      <c r="B11" s="171">
        <v>250</v>
      </c>
      <c r="C11" s="171"/>
      <c r="D11" s="172" t="s">
        <v>46</v>
      </c>
      <c r="E11" s="171" t="s">
        <v>23</v>
      </c>
      <c r="F11" s="173">
        <v>2248983.8679999998</v>
      </c>
      <c r="G11" s="173">
        <v>242199.5191</v>
      </c>
      <c r="H11" s="174">
        <v>117999</v>
      </c>
      <c r="I11" s="174">
        <v>4519.9199999999901</v>
      </c>
      <c r="J11" s="173">
        <f t="shared" si="0"/>
        <v>2006784.3488999999</v>
      </c>
      <c r="K11" s="175">
        <f t="shared" si="1"/>
        <v>17.006791149924997</v>
      </c>
      <c r="L11" s="176">
        <f t="shared" si="2"/>
        <v>0.69044694853339361</v>
      </c>
      <c r="M11" s="177">
        <f t="shared" si="3"/>
        <v>0.10769286634118268</v>
      </c>
      <c r="N11" s="176">
        <f t="shared" si="4"/>
        <v>1.1589580580865015</v>
      </c>
      <c r="O11" s="178">
        <f t="shared" si="5"/>
        <v>26.106435512133014</v>
      </c>
      <c r="P11" s="179"/>
    </row>
    <row r="12" spans="1:16" x14ac:dyDescent="0.25">
      <c r="A12" s="170" t="s">
        <v>77</v>
      </c>
      <c r="B12" s="172">
        <v>252</v>
      </c>
      <c r="C12" s="172"/>
      <c r="D12" s="172" t="s">
        <v>46</v>
      </c>
      <c r="E12" s="172" t="s">
        <v>23</v>
      </c>
      <c r="F12" s="173">
        <v>323380.52429999999</v>
      </c>
      <c r="G12" s="173">
        <v>45749.992830000003</v>
      </c>
      <c r="H12" s="174">
        <v>19378</v>
      </c>
      <c r="I12" s="174">
        <v>540.52</v>
      </c>
      <c r="J12" s="173">
        <f t="shared" si="0"/>
        <v>277630.53146999999</v>
      </c>
      <c r="K12" s="175">
        <f t="shared" si="1"/>
        <v>14.327099363711424</v>
      </c>
      <c r="L12" s="176">
        <f t="shared" si="2"/>
        <v>0.58165599552581704</v>
      </c>
      <c r="M12" s="177">
        <f t="shared" si="3"/>
        <v>0.14147417482556171</v>
      </c>
      <c r="N12" s="176">
        <f t="shared" si="4"/>
        <v>1.5225022835381856</v>
      </c>
      <c r="O12" s="178">
        <f t="shared" si="5"/>
        <v>35.850662325168358</v>
      </c>
      <c r="P12" s="179"/>
    </row>
    <row r="13" spans="1:16" x14ac:dyDescent="0.25">
      <c r="A13" s="170" t="s">
        <v>77</v>
      </c>
      <c r="B13" s="171">
        <v>264</v>
      </c>
      <c r="C13" s="171"/>
      <c r="D13" s="172" t="s">
        <v>46</v>
      </c>
      <c r="E13" s="171" t="s">
        <v>23</v>
      </c>
      <c r="F13" s="173">
        <v>409872.0085</v>
      </c>
      <c r="G13" s="173">
        <v>35264.413200000003</v>
      </c>
      <c r="H13" s="174">
        <v>16880</v>
      </c>
      <c r="I13" s="174">
        <v>865.25999999999704</v>
      </c>
      <c r="J13" s="173">
        <f t="shared" si="0"/>
        <v>374607.59529999999</v>
      </c>
      <c r="K13" s="175">
        <f t="shared" si="1"/>
        <v>22.192393086492888</v>
      </c>
      <c r="L13" s="176">
        <f t="shared" si="2"/>
        <v>0.90097361413708965</v>
      </c>
      <c r="M13" s="177">
        <f t="shared" si="3"/>
        <v>8.6037622644826214E-2</v>
      </c>
      <c r="N13" s="176">
        <f t="shared" si="4"/>
        <v>0.92591087460632959</v>
      </c>
      <c r="O13" s="178">
        <f t="shared" si="5"/>
        <v>19.508587014307906</v>
      </c>
      <c r="P13" s="179"/>
    </row>
    <row r="14" spans="1:16" x14ac:dyDescent="0.25">
      <c r="A14" s="170" t="s">
        <v>77</v>
      </c>
      <c r="B14" s="172">
        <v>270</v>
      </c>
      <c r="C14" s="172"/>
      <c r="D14" s="172" t="s">
        <v>46</v>
      </c>
      <c r="E14" s="172" t="s">
        <v>23</v>
      </c>
      <c r="F14" s="173">
        <v>1095803.0660000001</v>
      </c>
      <c r="G14" s="173">
        <v>106237.14659999999</v>
      </c>
      <c r="H14" s="174">
        <v>50049</v>
      </c>
      <c r="I14" s="174">
        <v>2113.0099999999902</v>
      </c>
      <c r="J14" s="173">
        <f t="shared" si="0"/>
        <v>989565.91940000013</v>
      </c>
      <c r="K14" s="175">
        <f t="shared" si="1"/>
        <v>19.771941884952749</v>
      </c>
      <c r="L14" s="176">
        <f t="shared" si="2"/>
        <v>0.80270739028305327</v>
      </c>
      <c r="M14" s="177">
        <f t="shared" si="3"/>
        <v>9.6949123338189294E-2</v>
      </c>
      <c r="N14" s="176">
        <f t="shared" si="4"/>
        <v>1.0433371451108751</v>
      </c>
      <c r="O14" s="178">
        <f t="shared" si="5"/>
        <v>23.686116014595402</v>
      </c>
      <c r="P14" s="179"/>
    </row>
    <row r="15" spans="1:16" x14ac:dyDescent="0.25">
      <c r="A15" s="170" t="s">
        <v>77</v>
      </c>
      <c r="B15" s="171">
        <v>275</v>
      </c>
      <c r="C15" s="171"/>
      <c r="D15" s="172" t="s">
        <v>46</v>
      </c>
      <c r="E15" s="171" t="s">
        <v>23</v>
      </c>
      <c r="F15" s="173">
        <v>307533.49890000001</v>
      </c>
      <c r="G15" s="173">
        <v>30375.921829999999</v>
      </c>
      <c r="H15" s="174">
        <v>12605</v>
      </c>
      <c r="I15" s="174">
        <v>576.18999999999903</v>
      </c>
      <c r="J15" s="173">
        <f t="shared" si="0"/>
        <v>277157.57707</v>
      </c>
      <c r="K15" s="175">
        <f t="shared" si="1"/>
        <v>21.987907740579136</v>
      </c>
      <c r="L15" s="176">
        <f t="shared" si="2"/>
        <v>0.89267185504207258</v>
      </c>
      <c r="M15" s="177">
        <f t="shared" si="3"/>
        <v>9.8772725373495879E-2</v>
      </c>
      <c r="N15" s="176">
        <f t="shared" si="4"/>
        <v>1.0629621987041724</v>
      </c>
      <c r="O15" s="178">
        <f t="shared" si="5"/>
        <v>21.876464360714383</v>
      </c>
      <c r="P15" s="179"/>
    </row>
    <row r="16" spans="1:16" x14ac:dyDescent="0.25">
      <c r="A16" s="170" t="s">
        <v>77</v>
      </c>
      <c r="B16" s="172">
        <v>294</v>
      </c>
      <c r="C16" s="172"/>
      <c r="D16" s="172" t="s">
        <v>46</v>
      </c>
      <c r="E16" s="172" t="s">
        <v>23</v>
      </c>
      <c r="F16" s="173">
        <v>223579.3529</v>
      </c>
      <c r="G16" s="173">
        <v>8431.4758070000007</v>
      </c>
      <c r="H16" s="174">
        <v>6282</v>
      </c>
      <c r="I16" s="174">
        <v>565.31000000000097</v>
      </c>
      <c r="J16" s="173">
        <f t="shared" si="0"/>
        <v>215147.87709299999</v>
      </c>
      <c r="K16" s="175">
        <f t="shared" si="1"/>
        <v>34.248308992836677</v>
      </c>
      <c r="L16" s="176">
        <f t="shared" si="2"/>
        <v>1.3904234036905401</v>
      </c>
      <c r="M16" s="177">
        <f t="shared" si="3"/>
        <v>3.7711334690064761E-2</v>
      </c>
      <c r="N16" s="176">
        <f t="shared" si="4"/>
        <v>0.40583797892223139</v>
      </c>
      <c r="O16" s="178">
        <f t="shared" si="5"/>
        <v>11.112486954060586</v>
      </c>
      <c r="P16" s="179"/>
    </row>
    <row r="17" spans="1:16" x14ac:dyDescent="0.25">
      <c r="A17" s="170" t="s">
        <v>77</v>
      </c>
      <c r="B17" s="171">
        <v>351</v>
      </c>
      <c r="C17" s="171"/>
      <c r="D17" s="172" t="s">
        <v>46</v>
      </c>
      <c r="E17" s="171" t="s">
        <v>23</v>
      </c>
      <c r="F17" s="173">
        <v>91594.804019999996</v>
      </c>
      <c r="G17" s="173">
        <v>1111.146092</v>
      </c>
      <c r="H17" s="174">
        <v>2273</v>
      </c>
      <c r="I17" s="174">
        <v>135.09</v>
      </c>
      <c r="J17" s="173">
        <f t="shared" si="0"/>
        <v>90483.657928000001</v>
      </c>
      <c r="K17" s="175">
        <f t="shared" si="1"/>
        <v>39.808032524417072</v>
      </c>
      <c r="L17" s="176">
        <f t="shared" si="2"/>
        <v>1.616138773111415</v>
      </c>
      <c r="M17" s="177">
        <f t="shared" si="3"/>
        <v>1.2131103984428833E-2</v>
      </c>
      <c r="N17" s="176">
        <f t="shared" si="4"/>
        <v>0.13055127227923555</v>
      </c>
      <c r="O17" s="178">
        <f t="shared" si="5"/>
        <v>16.825819823821156</v>
      </c>
      <c r="P17" s="179"/>
    </row>
    <row r="18" spans="1:16" x14ac:dyDescent="0.25">
      <c r="A18" s="170" t="s">
        <v>77</v>
      </c>
      <c r="B18" s="172">
        <v>355</v>
      </c>
      <c r="C18" s="172"/>
      <c r="D18" s="172" t="s">
        <v>46</v>
      </c>
      <c r="E18" s="172" t="s">
        <v>23</v>
      </c>
      <c r="F18" s="173">
        <v>1363839.5430000001</v>
      </c>
      <c r="G18" s="173">
        <v>169762.71969999999</v>
      </c>
      <c r="H18" s="174">
        <v>81347</v>
      </c>
      <c r="I18" s="174">
        <v>2354.6800000000098</v>
      </c>
      <c r="J18" s="173">
        <f t="shared" si="0"/>
        <v>1194076.8233</v>
      </c>
      <c r="K18" s="175">
        <f t="shared" si="1"/>
        <v>14.678805896959938</v>
      </c>
      <c r="L18" s="176">
        <f t="shared" si="2"/>
        <v>0.59593468575726416</v>
      </c>
      <c r="M18" s="177">
        <f t="shared" si="3"/>
        <v>0.12447411469429727</v>
      </c>
      <c r="N18" s="176">
        <f t="shared" si="4"/>
        <v>1.3395527777216647</v>
      </c>
      <c r="O18" s="178">
        <f t="shared" si="5"/>
        <v>34.5469448077869</v>
      </c>
      <c r="P18" s="179"/>
    </row>
    <row r="19" spans="1:16" x14ac:dyDescent="0.25">
      <c r="A19" s="170" t="s">
        <v>77</v>
      </c>
      <c r="B19" s="171">
        <v>363</v>
      </c>
      <c r="C19" s="171"/>
      <c r="D19" s="172" t="s">
        <v>46</v>
      </c>
      <c r="E19" s="171" t="s">
        <v>23</v>
      </c>
      <c r="F19" s="173">
        <v>737444.03399999999</v>
      </c>
      <c r="G19" s="173">
        <v>64258.984680000001</v>
      </c>
      <c r="H19" s="174">
        <v>29747</v>
      </c>
      <c r="I19" s="174">
        <v>1310.97</v>
      </c>
      <c r="J19" s="173">
        <f t="shared" si="0"/>
        <v>673185.04931999999</v>
      </c>
      <c r="K19" s="175">
        <f t="shared" si="1"/>
        <v>22.630350936901198</v>
      </c>
      <c r="L19" s="176">
        <f t="shared" si="2"/>
        <v>0.91875396192492009</v>
      </c>
      <c r="M19" s="177">
        <f t="shared" si="3"/>
        <v>8.7137439205318731E-2</v>
      </c>
      <c r="N19" s="176">
        <f t="shared" si="4"/>
        <v>0.93774676781360644</v>
      </c>
      <c r="O19" s="178">
        <f t="shared" si="5"/>
        <v>22.69083197937405</v>
      </c>
      <c r="P19" s="179"/>
    </row>
    <row r="20" spans="1:16" x14ac:dyDescent="0.25">
      <c r="A20" s="170" t="s">
        <v>77</v>
      </c>
      <c r="B20" s="172">
        <v>467</v>
      </c>
      <c r="C20" s="172"/>
      <c r="D20" s="172" t="s">
        <v>46</v>
      </c>
      <c r="E20" s="172" t="s">
        <v>23</v>
      </c>
      <c r="F20" s="173">
        <v>711894.92024999997</v>
      </c>
      <c r="G20" s="173">
        <v>5490.5488590000004</v>
      </c>
      <c r="H20" s="174">
        <v>28466</v>
      </c>
      <c r="I20" s="174">
        <v>1752.44</v>
      </c>
      <c r="J20" s="173">
        <v>740311.37139099999</v>
      </c>
      <c r="K20" s="175">
        <f t="shared" si="1"/>
        <v>26.006863324351858</v>
      </c>
      <c r="L20" s="176">
        <f t="shared" si="2"/>
        <v>1.055834652458995</v>
      </c>
      <c r="M20" s="177">
        <f t="shared" si="3"/>
        <v>7.7125832799479098E-3</v>
      </c>
      <c r="N20" s="176">
        <f t="shared" si="4"/>
        <v>8.3000488747699608E-2</v>
      </c>
      <c r="O20" s="178">
        <f t="shared" si="5"/>
        <v>16.243637442651387</v>
      </c>
      <c r="P20" s="180"/>
    </row>
    <row r="21" spans="1:16" x14ac:dyDescent="0.25">
      <c r="A21" s="170" t="s">
        <v>77</v>
      </c>
      <c r="B21" s="172">
        <v>578</v>
      </c>
      <c r="C21" s="172"/>
      <c r="D21" s="172" t="s">
        <v>46</v>
      </c>
      <c r="E21" s="172" t="s">
        <v>23</v>
      </c>
      <c r="F21" s="173">
        <v>514659.53869999998</v>
      </c>
      <c r="G21" s="173">
        <v>36529.961730000003</v>
      </c>
      <c r="H21" s="174">
        <v>16762</v>
      </c>
      <c r="I21" s="174">
        <v>1057.54</v>
      </c>
      <c r="J21" s="173">
        <f t="shared" ref="J21:J49" si="6">+F21-G21</f>
        <v>478129.57696999999</v>
      </c>
      <c r="K21" s="175">
        <f t="shared" si="1"/>
        <v>28.524613827108936</v>
      </c>
      <c r="L21" s="176">
        <f t="shared" si="2"/>
        <v>1.1580510633311134</v>
      </c>
      <c r="M21" s="177">
        <f t="shared" si="3"/>
        <v>7.0978887950415834E-2</v>
      </c>
      <c r="N21" s="176">
        <f t="shared" si="4"/>
        <v>0.76385332602755507</v>
      </c>
      <c r="O21" s="178">
        <f t="shared" si="5"/>
        <v>15.849991489683607</v>
      </c>
      <c r="P21" s="179"/>
    </row>
    <row r="22" spans="1:16" x14ac:dyDescent="0.25">
      <c r="A22" s="170" t="s">
        <v>77</v>
      </c>
      <c r="B22" s="171">
        <v>667</v>
      </c>
      <c r="C22" s="171"/>
      <c r="D22" s="172" t="s">
        <v>46</v>
      </c>
      <c r="E22" s="171" t="s">
        <v>23</v>
      </c>
      <c r="F22" s="173">
        <v>359289.94579999999</v>
      </c>
      <c r="G22" s="173">
        <v>31178.263060000001</v>
      </c>
      <c r="H22" s="174">
        <v>14961</v>
      </c>
      <c r="I22" s="174">
        <v>751.41000000000395</v>
      </c>
      <c r="J22" s="173">
        <f t="shared" si="6"/>
        <v>328111.68273999996</v>
      </c>
      <c r="K22" s="175">
        <f t="shared" si="1"/>
        <v>21.931133128801548</v>
      </c>
      <c r="L22" s="176">
        <f t="shared" si="2"/>
        <v>0.89036690185540535</v>
      </c>
      <c r="M22" s="177">
        <f t="shared" si="3"/>
        <v>8.6777443745546648E-2</v>
      </c>
      <c r="N22" s="176">
        <f t="shared" si="4"/>
        <v>0.93387260554871132</v>
      </c>
      <c r="O22" s="178">
        <f t="shared" si="5"/>
        <v>19.910568131911901</v>
      </c>
      <c r="P22" s="179"/>
    </row>
    <row r="23" spans="1:16" x14ac:dyDescent="0.25">
      <c r="A23" s="170" t="s">
        <v>77</v>
      </c>
      <c r="B23" s="172">
        <v>673</v>
      </c>
      <c r="C23" s="172"/>
      <c r="D23" s="172" t="s">
        <v>46</v>
      </c>
      <c r="E23" s="172" t="s">
        <v>23</v>
      </c>
      <c r="F23" s="173">
        <v>957540.81270000001</v>
      </c>
      <c r="G23" s="173">
        <v>58849.385090000003</v>
      </c>
      <c r="H23" s="174">
        <v>28020</v>
      </c>
      <c r="I23" s="174">
        <v>1886.39</v>
      </c>
      <c r="J23" s="173">
        <f t="shared" si="6"/>
        <v>898691.42761000001</v>
      </c>
      <c r="K23" s="175">
        <f t="shared" si="1"/>
        <v>32.073212976802282</v>
      </c>
      <c r="L23" s="176">
        <f t="shared" si="2"/>
        <v>1.3021181852752064</v>
      </c>
      <c r="M23" s="177">
        <f t="shared" si="3"/>
        <v>6.1458879151125717E-2</v>
      </c>
      <c r="N23" s="176">
        <f t="shared" si="4"/>
        <v>0.66140187045911447</v>
      </c>
      <c r="O23" s="178">
        <f t="shared" si="5"/>
        <v>14.853768308780262</v>
      </c>
      <c r="P23" s="179"/>
    </row>
    <row r="24" spans="1:16" x14ac:dyDescent="0.25">
      <c r="A24" s="170" t="s">
        <v>77</v>
      </c>
      <c r="B24" s="171">
        <v>755</v>
      </c>
      <c r="C24" s="171"/>
      <c r="D24" s="172" t="s">
        <v>46</v>
      </c>
      <c r="E24" s="171" t="s">
        <v>23</v>
      </c>
      <c r="F24" s="173">
        <v>1142126.7919999999</v>
      </c>
      <c r="G24" s="173">
        <v>41880.387849999999</v>
      </c>
      <c r="H24" s="174">
        <v>37371</v>
      </c>
      <c r="I24" s="174">
        <v>2623.6099999999801</v>
      </c>
      <c r="J24" s="173">
        <f t="shared" si="6"/>
        <v>1100246.4041499998</v>
      </c>
      <c r="K24" s="175">
        <f t="shared" si="1"/>
        <v>29.44118177597602</v>
      </c>
      <c r="L24" s="176">
        <f t="shared" si="2"/>
        <v>1.195262171401996</v>
      </c>
      <c r="M24" s="177">
        <f t="shared" si="3"/>
        <v>3.6668772804692253E-2</v>
      </c>
      <c r="N24" s="176">
        <f t="shared" si="4"/>
        <v>0.39461824321310518</v>
      </c>
      <c r="O24" s="178">
        <f t="shared" si="5"/>
        <v>14.244114026093925</v>
      </c>
      <c r="P24" s="179"/>
    </row>
    <row r="25" spans="1:16" x14ac:dyDescent="0.25">
      <c r="A25" s="170" t="s">
        <v>77</v>
      </c>
      <c r="B25" s="172">
        <v>760</v>
      </c>
      <c r="C25" s="172"/>
      <c r="D25" s="172" t="s">
        <v>46</v>
      </c>
      <c r="E25" s="172" t="s">
        <v>23</v>
      </c>
      <c r="F25" s="173">
        <v>419842.33909999998</v>
      </c>
      <c r="G25" s="173">
        <v>26416.60226</v>
      </c>
      <c r="H25" s="174">
        <v>12570</v>
      </c>
      <c r="I25" s="174">
        <v>849.41000000000201</v>
      </c>
      <c r="J25" s="173">
        <f t="shared" si="6"/>
        <v>393425.73683999997</v>
      </c>
      <c r="K25" s="175">
        <f t="shared" si="1"/>
        <v>31.298785747016705</v>
      </c>
      <c r="L25" s="176">
        <f t="shared" si="2"/>
        <v>1.270677749924827</v>
      </c>
      <c r="M25" s="177">
        <f t="shared" si="3"/>
        <v>6.2920291261306008E-2</v>
      </c>
      <c r="N25" s="176">
        <f t="shared" si="4"/>
        <v>0.67712914561504522</v>
      </c>
      <c r="O25" s="178">
        <f t="shared" si="5"/>
        <v>14.798507199114644</v>
      </c>
      <c r="P25" s="179"/>
    </row>
    <row r="26" spans="1:16" x14ac:dyDescent="0.25">
      <c r="A26" s="170" t="s">
        <v>77</v>
      </c>
      <c r="B26" s="172">
        <v>763</v>
      </c>
      <c r="C26" s="172"/>
      <c r="D26" s="172" t="s">
        <v>46</v>
      </c>
      <c r="E26" s="172" t="s">
        <v>23</v>
      </c>
      <c r="F26" s="173">
        <v>288939.08299999998</v>
      </c>
      <c r="G26" s="173">
        <v>18773.68174</v>
      </c>
      <c r="H26" s="174">
        <v>10318</v>
      </c>
      <c r="I26" s="174">
        <v>667.64999999999702</v>
      </c>
      <c r="J26" s="173">
        <f t="shared" si="6"/>
        <v>270165.40125999996</v>
      </c>
      <c r="K26" s="175">
        <f t="shared" si="1"/>
        <v>26.183892349292496</v>
      </c>
      <c r="L26" s="176">
        <f t="shared" si="2"/>
        <v>1.0630217313732111</v>
      </c>
      <c r="M26" s="177">
        <f t="shared" si="3"/>
        <v>6.4974532157700521E-2</v>
      </c>
      <c r="N26" s="176">
        <f t="shared" si="4"/>
        <v>0.69923626487942336</v>
      </c>
      <c r="O26" s="178">
        <f t="shared" si="5"/>
        <v>15.454205047554925</v>
      </c>
      <c r="P26" s="179"/>
    </row>
    <row r="27" spans="1:16" s="96" customFormat="1" x14ac:dyDescent="0.25">
      <c r="A27" s="170" t="s">
        <v>77</v>
      </c>
      <c r="B27" s="171">
        <v>764</v>
      </c>
      <c r="C27" s="171"/>
      <c r="D27" s="172" t="s">
        <v>46</v>
      </c>
      <c r="E27" s="171" t="s">
        <v>23</v>
      </c>
      <c r="F27" s="173">
        <v>257710.48939999999</v>
      </c>
      <c r="G27" s="173">
        <v>20929.801449999999</v>
      </c>
      <c r="H27" s="174">
        <v>9391</v>
      </c>
      <c r="I27" s="174">
        <v>571.92999999999995</v>
      </c>
      <c r="J27" s="173">
        <f t="shared" si="6"/>
        <v>236780.68794999999</v>
      </c>
      <c r="K27" s="175">
        <f t="shared" si="1"/>
        <v>25.213575545735278</v>
      </c>
      <c r="L27" s="176">
        <f t="shared" si="2"/>
        <v>1.0236285107344247</v>
      </c>
      <c r="M27" s="177">
        <f t="shared" si="3"/>
        <v>8.1214394876703067E-2</v>
      </c>
      <c r="N27" s="176">
        <f t="shared" si="4"/>
        <v>0.87400475605114669</v>
      </c>
      <c r="O27" s="178">
        <f t="shared" si="5"/>
        <v>16.419841589005649</v>
      </c>
      <c r="P27" s="179"/>
    </row>
    <row r="28" spans="1:16" s="96" customFormat="1" x14ac:dyDescent="0.25">
      <c r="A28" s="170" t="s">
        <v>77</v>
      </c>
      <c r="B28" s="171">
        <v>766</v>
      </c>
      <c r="C28" s="171"/>
      <c r="D28" s="172" t="s">
        <v>46</v>
      </c>
      <c r="E28" s="171" t="s">
        <v>23</v>
      </c>
      <c r="F28" s="173">
        <v>627266.74879999994</v>
      </c>
      <c r="G28" s="173">
        <v>30392.464950000001</v>
      </c>
      <c r="H28" s="174">
        <v>12790</v>
      </c>
      <c r="I28" s="174">
        <v>1346.81</v>
      </c>
      <c r="J28" s="173">
        <f t="shared" si="6"/>
        <v>596874.28384999989</v>
      </c>
      <c r="K28" s="175">
        <f t="shared" si="1"/>
        <v>46.667262224394051</v>
      </c>
      <c r="L28" s="176">
        <f t="shared" si="2"/>
        <v>1.8946118944597428</v>
      </c>
      <c r="M28" s="177">
        <f t="shared" si="3"/>
        <v>4.845221751056096E-2</v>
      </c>
      <c r="N28" s="176">
        <f t="shared" si="4"/>
        <v>0.52142811147882606</v>
      </c>
      <c r="O28" s="178">
        <f t="shared" si="5"/>
        <v>9.4965139848976481</v>
      </c>
      <c r="P28" s="179"/>
    </row>
    <row r="29" spans="1:16" s="96" customFormat="1" x14ac:dyDescent="0.25">
      <c r="A29" s="170" t="s">
        <v>77</v>
      </c>
      <c r="B29" s="172">
        <v>768</v>
      </c>
      <c r="C29" s="172"/>
      <c r="D29" s="172" t="s">
        <v>46</v>
      </c>
      <c r="E29" s="172" t="s">
        <v>23</v>
      </c>
      <c r="F29" s="173">
        <v>1609195.129</v>
      </c>
      <c r="G29" s="173">
        <v>158855.29060000001</v>
      </c>
      <c r="H29" s="174">
        <v>72619</v>
      </c>
      <c r="I29" s="174">
        <v>2837.71</v>
      </c>
      <c r="J29" s="173">
        <f t="shared" si="6"/>
        <v>1450339.8384</v>
      </c>
      <c r="K29" s="175">
        <f t="shared" si="1"/>
        <v>19.971905952987509</v>
      </c>
      <c r="L29" s="176">
        <f t="shared" si="2"/>
        <v>0.81082559314529823</v>
      </c>
      <c r="M29" s="177">
        <f t="shared" si="3"/>
        <v>9.8717233067140364E-2</v>
      </c>
      <c r="N29" s="176">
        <f t="shared" si="4"/>
        <v>1.0623650072856734</v>
      </c>
      <c r="O29" s="178">
        <f t="shared" si="5"/>
        <v>25.590705181290549</v>
      </c>
      <c r="P29" s="179"/>
    </row>
    <row r="30" spans="1:16" s="96" customFormat="1" x14ac:dyDescent="0.25">
      <c r="A30" s="170" t="s">
        <v>77</v>
      </c>
      <c r="B30" s="171">
        <v>824</v>
      </c>
      <c r="C30" s="171"/>
      <c r="D30" s="172" t="s">
        <v>46</v>
      </c>
      <c r="E30" s="171" t="s">
        <v>23</v>
      </c>
      <c r="F30" s="173">
        <v>260226.3449</v>
      </c>
      <c r="G30" s="173">
        <v>12929.082990000001</v>
      </c>
      <c r="H30" s="174">
        <v>10455</v>
      </c>
      <c r="I30" s="174">
        <v>567.819999999998</v>
      </c>
      <c r="J30" s="173">
        <f t="shared" si="6"/>
        <v>247297.26191</v>
      </c>
      <c r="K30" s="175">
        <f t="shared" si="1"/>
        <v>23.653492291726447</v>
      </c>
      <c r="L30" s="176">
        <f t="shared" si="2"/>
        <v>0.96029176997641308</v>
      </c>
      <c r="M30" s="177">
        <f t="shared" si="3"/>
        <v>4.9683989509088325E-2</v>
      </c>
      <c r="N30" s="176">
        <f t="shared" si="4"/>
        <v>0.53468406920304434</v>
      </c>
      <c r="O30" s="178">
        <f t="shared" si="5"/>
        <v>18.412525095981184</v>
      </c>
      <c r="P30" s="179"/>
    </row>
    <row r="31" spans="1:16" x14ac:dyDescent="0.25">
      <c r="A31" s="170" t="s">
        <v>77</v>
      </c>
      <c r="B31" s="172">
        <v>850</v>
      </c>
      <c r="C31" s="172"/>
      <c r="D31" s="172" t="s">
        <v>46</v>
      </c>
      <c r="E31" s="172" t="s">
        <v>23</v>
      </c>
      <c r="F31" s="173">
        <v>2068672.933</v>
      </c>
      <c r="G31" s="173">
        <v>214114.81909999999</v>
      </c>
      <c r="H31" s="174">
        <v>97423</v>
      </c>
      <c r="I31" s="174">
        <v>4036.43</v>
      </c>
      <c r="J31" s="173">
        <f t="shared" si="6"/>
        <v>1854558.1139</v>
      </c>
      <c r="K31" s="175">
        <f t="shared" si="1"/>
        <v>19.036142532050953</v>
      </c>
      <c r="L31" s="176">
        <f t="shared" si="2"/>
        <v>0.77283518138336726</v>
      </c>
      <c r="M31" s="177">
        <f t="shared" si="3"/>
        <v>0.10350346624852369</v>
      </c>
      <c r="N31" s="176">
        <f t="shared" si="4"/>
        <v>1.1138730012866089</v>
      </c>
      <c r="O31" s="178">
        <f t="shared" si="5"/>
        <v>24.135931999316227</v>
      </c>
      <c r="P31" s="179"/>
    </row>
    <row r="32" spans="1:16" x14ac:dyDescent="0.25">
      <c r="A32" s="170" t="s">
        <v>77</v>
      </c>
      <c r="B32" s="172">
        <v>852</v>
      </c>
      <c r="C32" s="172"/>
      <c r="D32" s="172" t="s">
        <v>46</v>
      </c>
      <c r="E32" s="172" t="s">
        <v>23</v>
      </c>
      <c r="F32" s="173">
        <v>816550</v>
      </c>
      <c r="G32" s="173">
        <v>95112</v>
      </c>
      <c r="H32" s="174">
        <v>84638</v>
      </c>
      <c r="I32" s="174">
        <v>7311.3600000000006</v>
      </c>
      <c r="J32" s="173">
        <f t="shared" si="6"/>
        <v>721438</v>
      </c>
      <c r="K32" s="175">
        <f t="shared" si="1"/>
        <v>8.5238072733287655</v>
      </c>
      <c r="L32" s="176">
        <f t="shared" si="2"/>
        <v>0.34605215468777878</v>
      </c>
      <c r="M32" s="177">
        <f t="shared" si="3"/>
        <v>0.1164803135141755</v>
      </c>
      <c r="N32" s="176">
        <f t="shared" si="4"/>
        <v>1.2535259069808244</v>
      </c>
      <c r="O32" s="178">
        <f t="shared" si="5"/>
        <v>11.576232055322128</v>
      </c>
      <c r="P32" s="179"/>
    </row>
    <row r="33" spans="1:16" x14ac:dyDescent="0.25">
      <c r="A33" s="170" t="s">
        <v>77</v>
      </c>
      <c r="B33" s="171">
        <v>852</v>
      </c>
      <c r="C33" s="171"/>
      <c r="D33" s="172" t="s">
        <v>46</v>
      </c>
      <c r="E33" s="171" t="s">
        <v>43</v>
      </c>
      <c r="F33" s="173">
        <v>92196</v>
      </c>
      <c r="G33" s="173">
        <v>5578</v>
      </c>
      <c r="H33" s="174">
        <v>8094</v>
      </c>
      <c r="I33" s="174">
        <v>774</v>
      </c>
      <c r="J33" s="173">
        <f t="shared" si="6"/>
        <v>86618</v>
      </c>
      <c r="K33" s="175">
        <f t="shared" si="1"/>
        <v>10.701507289350136</v>
      </c>
      <c r="L33" s="176">
        <f t="shared" si="2"/>
        <v>0.55671908980642848</v>
      </c>
      <c r="M33" s="177">
        <f t="shared" si="3"/>
        <v>6.0501540196971668E-2</v>
      </c>
      <c r="N33" s="176">
        <f t="shared" si="4"/>
        <v>1.2164918965587963</v>
      </c>
      <c r="O33" s="178">
        <f t="shared" si="5"/>
        <v>10.457364341085272</v>
      </c>
      <c r="P33" s="179"/>
    </row>
    <row r="34" spans="1:16" x14ac:dyDescent="0.25">
      <c r="A34" s="170" t="s">
        <v>8</v>
      </c>
      <c r="B34" s="171">
        <v>460</v>
      </c>
      <c r="C34" s="171"/>
      <c r="D34" s="172" t="s">
        <v>46</v>
      </c>
      <c r="E34" s="171" t="s">
        <v>23</v>
      </c>
      <c r="F34" s="173">
        <v>1593303.11</v>
      </c>
      <c r="G34" s="173">
        <v>166022.54</v>
      </c>
      <c r="H34" s="174">
        <v>94664</v>
      </c>
      <c r="I34" s="174">
        <v>4253.2</v>
      </c>
      <c r="J34" s="173">
        <f t="shared" si="6"/>
        <v>1427280.57</v>
      </c>
      <c r="K34" s="175">
        <f t="shared" si="1"/>
        <v>15.077332143158962</v>
      </c>
      <c r="L34" s="176">
        <f t="shared" si="2"/>
        <v>0.61211417712473459</v>
      </c>
      <c r="M34" s="177">
        <f t="shared" si="3"/>
        <v>0.10420022339628773</v>
      </c>
      <c r="N34" s="176">
        <f t="shared" si="4"/>
        <v>1.1213712909910747</v>
      </c>
      <c r="O34" s="178">
        <f t="shared" si="5"/>
        <v>22.257124047775793</v>
      </c>
      <c r="P34" s="180" t="s">
        <v>103</v>
      </c>
    </row>
    <row r="35" spans="1:16" x14ac:dyDescent="0.25">
      <c r="A35" s="170" t="s">
        <v>8</v>
      </c>
      <c r="B35" s="171">
        <v>465</v>
      </c>
      <c r="C35" s="171"/>
      <c r="D35" s="172" t="s">
        <v>46</v>
      </c>
      <c r="E35" s="171" t="s">
        <v>23</v>
      </c>
      <c r="F35" s="173">
        <v>2296750.27</v>
      </c>
      <c r="G35" s="173">
        <v>251527.72</v>
      </c>
      <c r="H35" s="174">
        <v>143418</v>
      </c>
      <c r="I35" s="174">
        <v>7376.09</v>
      </c>
      <c r="J35" s="173">
        <f t="shared" si="6"/>
        <v>2045222.55</v>
      </c>
      <c r="K35" s="175">
        <f t="shared" si="1"/>
        <v>14.260570848847426</v>
      </c>
      <c r="L35" s="176">
        <f t="shared" si="2"/>
        <v>0.57895505037553163</v>
      </c>
      <c r="M35" s="177">
        <f t="shared" si="3"/>
        <v>0.1095146143163401</v>
      </c>
      <c r="N35" s="176">
        <f t="shared" si="4"/>
        <v>1.1785631588451957</v>
      </c>
      <c r="O35" s="178">
        <f t="shared" si="5"/>
        <v>19.443634771267703</v>
      </c>
      <c r="P35" s="180"/>
    </row>
    <row r="36" spans="1:16" x14ac:dyDescent="0.25">
      <c r="A36" s="170" t="s">
        <v>8</v>
      </c>
      <c r="B36" s="171">
        <v>470</v>
      </c>
      <c r="C36" s="171"/>
      <c r="D36" s="172" t="s">
        <v>46</v>
      </c>
      <c r="E36" s="171" t="s">
        <v>23</v>
      </c>
      <c r="F36" s="173">
        <v>611505.23</v>
      </c>
      <c r="G36" s="173">
        <v>65769.58</v>
      </c>
      <c r="H36" s="174">
        <v>37501</v>
      </c>
      <c r="I36" s="174">
        <v>1529.86</v>
      </c>
      <c r="J36" s="173">
        <f t="shared" si="6"/>
        <v>545735.65</v>
      </c>
      <c r="K36" s="175">
        <f t="shared" si="1"/>
        <v>14.552562598330711</v>
      </c>
      <c r="L36" s="176">
        <f t="shared" si="2"/>
        <v>0.59080942141180737</v>
      </c>
      <c r="M36" s="177">
        <f t="shared" si="3"/>
        <v>0.10755358543703707</v>
      </c>
      <c r="N36" s="176">
        <f t="shared" si="4"/>
        <v>1.1574591591187118</v>
      </c>
      <c r="O36" s="178">
        <f t="shared" si="5"/>
        <v>24.512700508543269</v>
      </c>
      <c r="P36" s="180" t="s">
        <v>104</v>
      </c>
    </row>
    <row r="37" spans="1:16" x14ac:dyDescent="0.25">
      <c r="A37" s="170" t="s">
        <v>8</v>
      </c>
      <c r="B37" s="172">
        <v>475</v>
      </c>
      <c r="C37" s="172"/>
      <c r="D37" s="172" t="s">
        <v>46</v>
      </c>
      <c r="E37" s="172" t="s">
        <v>23</v>
      </c>
      <c r="F37" s="173">
        <v>1542762.68</v>
      </c>
      <c r="G37" s="173">
        <v>158824.91</v>
      </c>
      <c r="H37" s="174">
        <v>90560</v>
      </c>
      <c r="I37" s="174">
        <v>4904.7800000000007</v>
      </c>
      <c r="J37" s="173">
        <f t="shared" si="6"/>
        <v>1383937.77</v>
      </c>
      <c r="K37" s="175">
        <f t="shared" si="1"/>
        <v>15.281998343639577</v>
      </c>
      <c r="L37" s="176">
        <f t="shared" si="2"/>
        <v>0.62042327860919577</v>
      </c>
      <c r="M37" s="177">
        <f t="shared" si="3"/>
        <v>0.10294837440584187</v>
      </c>
      <c r="N37" s="176">
        <f t="shared" si="4"/>
        <v>1.1078992707517001</v>
      </c>
      <c r="O37" s="178">
        <f t="shared" si="5"/>
        <v>18.463621202174203</v>
      </c>
      <c r="P37" s="179"/>
    </row>
    <row r="38" spans="1:16" ht="15.75" x14ac:dyDescent="0.25">
      <c r="A38" s="170" t="s">
        <v>8</v>
      </c>
      <c r="B38" s="181">
        <v>477</v>
      </c>
      <c r="C38" s="181"/>
      <c r="D38" s="172" t="s">
        <v>46</v>
      </c>
      <c r="E38" s="181" t="s">
        <v>23</v>
      </c>
      <c r="F38" s="173">
        <v>1661798.14</v>
      </c>
      <c r="G38" s="173">
        <v>271329.98</v>
      </c>
      <c r="H38" s="174">
        <v>154709</v>
      </c>
      <c r="I38" s="174">
        <v>4954.5</v>
      </c>
      <c r="J38" s="173">
        <f t="shared" si="6"/>
        <v>1390468.16</v>
      </c>
      <c r="K38" s="175">
        <f t="shared" si="1"/>
        <v>8.9876358841437796</v>
      </c>
      <c r="L38" s="176">
        <f t="shared" si="2"/>
        <v>0.36488281157987112</v>
      </c>
      <c r="M38" s="177">
        <f t="shared" si="3"/>
        <v>0.16327493301924142</v>
      </c>
      <c r="N38" s="176">
        <f t="shared" si="4"/>
        <v>1.757115450030704</v>
      </c>
      <c r="O38" s="178">
        <f t="shared" si="5"/>
        <v>31.225956201433039</v>
      </c>
      <c r="P38" s="179"/>
    </row>
    <row r="39" spans="1:16" x14ac:dyDescent="0.25">
      <c r="A39" s="170" t="s">
        <v>8</v>
      </c>
      <c r="B39" s="171">
        <v>480</v>
      </c>
      <c r="C39" s="171"/>
      <c r="D39" s="172" t="s">
        <v>46</v>
      </c>
      <c r="E39" s="171" t="s">
        <v>23</v>
      </c>
      <c r="F39" s="173">
        <v>633271.81000000006</v>
      </c>
      <c r="G39" s="173">
        <v>48650.65</v>
      </c>
      <c r="H39" s="174">
        <v>27740</v>
      </c>
      <c r="I39" s="174">
        <v>2268.27</v>
      </c>
      <c r="J39" s="173">
        <f t="shared" si="6"/>
        <v>584621.16</v>
      </c>
      <c r="K39" s="175">
        <f t="shared" si="1"/>
        <v>21.075023792357609</v>
      </c>
      <c r="L39" s="176">
        <f t="shared" si="2"/>
        <v>0.85561031116479336</v>
      </c>
      <c r="M39" s="177">
        <f t="shared" si="3"/>
        <v>7.6824278661638198E-2</v>
      </c>
      <c r="N39" s="176">
        <f t="shared" si="4"/>
        <v>0.82675965304435672</v>
      </c>
      <c r="O39" s="178">
        <f t="shared" si="5"/>
        <v>12.229584661438013</v>
      </c>
      <c r="P39" s="179"/>
    </row>
    <row r="40" spans="1:16" ht="15.75" x14ac:dyDescent="0.25">
      <c r="A40" s="170" t="s">
        <v>8</v>
      </c>
      <c r="B40" s="181">
        <v>490</v>
      </c>
      <c r="C40" s="181"/>
      <c r="D40" s="172" t="s">
        <v>46</v>
      </c>
      <c r="E40" s="181" t="s">
        <v>23</v>
      </c>
      <c r="F40" s="173">
        <v>1094386.19</v>
      </c>
      <c r="G40" s="173">
        <v>80501.570000000007</v>
      </c>
      <c r="H40" s="174">
        <v>45901</v>
      </c>
      <c r="I40" s="174">
        <v>3476.98</v>
      </c>
      <c r="J40" s="173">
        <f t="shared" si="6"/>
        <v>1013884.6199999999</v>
      </c>
      <c r="K40" s="175">
        <f t="shared" si="1"/>
        <v>22.088508311365764</v>
      </c>
      <c r="L40" s="176">
        <f t="shared" si="2"/>
        <v>0.89675606801958374</v>
      </c>
      <c r="M40" s="177">
        <f t="shared" si="3"/>
        <v>7.3558649346625996E-2</v>
      </c>
      <c r="N40" s="176">
        <f t="shared" si="4"/>
        <v>0.79161593797815655</v>
      </c>
      <c r="O40" s="178">
        <f t="shared" si="5"/>
        <v>13.201398915150504</v>
      </c>
      <c r="P40" s="179" t="s">
        <v>107</v>
      </c>
    </row>
    <row r="41" spans="1:16" x14ac:dyDescent="0.25">
      <c r="A41" s="170" t="s">
        <v>45</v>
      </c>
      <c r="B41" s="171">
        <v>747</v>
      </c>
      <c r="C41" s="171"/>
      <c r="D41" s="172" t="s">
        <v>46</v>
      </c>
      <c r="E41" s="171" t="s">
        <v>23</v>
      </c>
      <c r="F41" s="173">
        <v>957015.0682374438</v>
      </c>
      <c r="G41" s="173">
        <v>51765</v>
      </c>
      <c r="H41" s="174">
        <v>24581</v>
      </c>
      <c r="I41" s="174">
        <v>4002.6000000000004</v>
      </c>
      <c r="J41" s="173">
        <f t="shared" si="6"/>
        <v>905250.0682374438</v>
      </c>
      <c r="K41" s="175">
        <f t="shared" si="1"/>
        <v>36.827227054938518</v>
      </c>
      <c r="L41" s="176">
        <f t="shared" si="2"/>
        <v>1.4951231139885477</v>
      </c>
      <c r="M41" s="177">
        <f t="shared" si="3"/>
        <v>5.4090057427556251E-2</v>
      </c>
      <c r="N41" s="176">
        <f t="shared" si="4"/>
        <v>0.58210083961759562</v>
      </c>
      <c r="O41" s="178">
        <f t="shared" si="5"/>
        <v>6.1412581821815815</v>
      </c>
      <c r="P41" s="180" t="s">
        <v>163</v>
      </c>
    </row>
    <row r="42" spans="1:16" ht="15.75" x14ac:dyDescent="0.25">
      <c r="A42" s="170" t="s">
        <v>45</v>
      </c>
      <c r="B42" s="181">
        <v>774</v>
      </c>
      <c r="C42" s="181"/>
      <c r="D42" s="172" t="s">
        <v>46</v>
      </c>
      <c r="E42" s="181" t="s">
        <v>23</v>
      </c>
      <c r="F42" s="173">
        <v>1104937.6799484668</v>
      </c>
      <c r="G42" s="173">
        <v>136536</v>
      </c>
      <c r="H42" s="174">
        <v>65435</v>
      </c>
      <c r="I42" s="174">
        <v>4929.59</v>
      </c>
      <c r="J42" s="173">
        <f t="shared" si="6"/>
        <v>968401.67994846683</v>
      </c>
      <c r="K42" s="175">
        <f t="shared" si="1"/>
        <v>14.799444944578083</v>
      </c>
      <c r="L42" s="176">
        <f t="shared" si="2"/>
        <v>0.60083242699296391</v>
      </c>
      <c r="M42" s="177">
        <f t="shared" si="3"/>
        <v>0.12356896002168005</v>
      </c>
      <c r="N42" s="176">
        <f t="shared" si="4"/>
        <v>1.3298117768802449</v>
      </c>
      <c r="O42" s="178">
        <f t="shared" si="5"/>
        <v>13.273923389166239</v>
      </c>
      <c r="P42" s="179"/>
    </row>
    <row r="43" spans="1:16" x14ac:dyDescent="0.25">
      <c r="A43" s="170" t="s">
        <v>45</v>
      </c>
      <c r="B43" s="171">
        <v>776</v>
      </c>
      <c r="C43" s="171"/>
      <c r="D43" s="172" t="s">
        <v>46</v>
      </c>
      <c r="E43" s="171" t="s">
        <v>23</v>
      </c>
      <c r="F43" s="173">
        <v>603998.10451152408</v>
      </c>
      <c r="G43" s="173">
        <v>53464</v>
      </c>
      <c r="H43" s="174">
        <v>25509</v>
      </c>
      <c r="I43" s="174">
        <v>2458.8099999999995</v>
      </c>
      <c r="J43" s="173">
        <f t="shared" si="6"/>
        <v>550534.10451152408</v>
      </c>
      <c r="K43" s="175">
        <f t="shared" si="1"/>
        <v>21.58195556515442</v>
      </c>
      <c r="L43" s="176">
        <f t="shared" si="2"/>
        <v>0.87619088351125418</v>
      </c>
      <c r="M43" s="177">
        <f t="shared" si="3"/>
        <v>8.8516834077216749E-2</v>
      </c>
      <c r="N43" s="176">
        <f t="shared" si="4"/>
        <v>0.95259139825555861</v>
      </c>
      <c r="O43" s="178">
        <f t="shared" si="5"/>
        <v>10.37453076894921</v>
      </c>
      <c r="P43" s="179"/>
    </row>
    <row r="44" spans="1:16" x14ac:dyDescent="0.25">
      <c r="A44" s="170" t="s">
        <v>45</v>
      </c>
      <c r="B44" s="172">
        <v>777</v>
      </c>
      <c r="C44" s="172"/>
      <c r="D44" s="172" t="s">
        <v>46</v>
      </c>
      <c r="E44" s="172" t="s">
        <v>23</v>
      </c>
      <c r="F44" s="173">
        <v>604362.15269175114</v>
      </c>
      <c r="G44" s="173">
        <v>44280</v>
      </c>
      <c r="H44" s="174">
        <v>21438</v>
      </c>
      <c r="I44" s="174">
        <v>2456.8299999999995</v>
      </c>
      <c r="J44" s="173">
        <f t="shared" si="6"/>
        <v>560082.15269175114</v>
      </c>
      <c r="K44" s="175">
        <f t="shared" si="1"/>
        <v>26.12567183000985</v>
      </c>
      <c r="L44" s="176">
        <f t="shared" si="2"/>
        <v>1.0606580767880305</v>
      </c>
      <c r="M44" s="177">
        <f t="shared" si="3"/>
        <v>7.3267327880779082E-2</v>
      </c>
      <c r="N44" s="176">
        <f t="shared" si="4"/>
        <v>0.78848082446685674</v>
      </c>
      <c r="O44" s="178">
        <f t="shared" si="5"/>
        <v>8.7258784694097695</v>
      </c>
      <c r="P44" s="179"/>
    </row>
    <row r="45" spans="1:16" x14ac:dyDescent="0.25">
      <c r="A45" s="170" t="s">
        <v>45</v>
      </c>
      <c r="B45" s="171">
        <v>790</v>
      </c>
      <c r="C45" s="171"/>
      <c r="D45" s="172" t="s">
        <v>46</v>
      </c>
      <c r="E45" s="171" t="s">
        <v>23</v>
      </c>
      <c r="F45" s="173">
        <v>707048.18294182466</v>
      </c>
      <c r="G45" s="173">
        <v>41426</v>
      </c>
      <c r="H45" s="174">
        <v>19794</v>
      </c>
      <c r="I45" s="174">
        <v>2943.42</v>
      </c>
      <c r="J45" s="173">
        <f t="shared" si="6"/>
        <v>665622.18294182466</v>
      </c>
      <c r="K45" s="175">
        <f t="shared" si="1"/>
        <v>33.627472109822406</v>
      </c>
      <c r="L45" s="176">
        <f t="shared" si="2"/>
        <v>1.3652184765743465</v>
      </c>
      <c r="M45" s="177">
        <f t="shared" si="3"/>
        <v>5.8590066419007394E-2</v>
      </c>
      <c r="N45" s="176">
        <f t="shared" si="4"/>
        <v>0.63052857544906016</v>
      </c>
      <c r="O45" s="178">
        <f t="shared" si="5"/>
        <v>6.7248302994475813</v>
      </c>
      <c r="P45" s="179"/>
    </row>
    <row r="46" spans="1:16" x14ac:dyDescent="0.25">
      <c r="A46" s="170" t="s">
        <v>45</v>
      </c>
      <c r="B46" s="171">
        <v>795</v>
      </c>
      <c r="C46" s="171"/>
      <c r="D46" s="172" t="s">
        <v>46</v>
      </c>
      <c r="E46" s="171" t="s">
        <v>23</v>
      </c>
      <c r="F46" s="173">
        <v>170495.81166898986</v>
      </c>
      <c r="G46" s="173">
        <v>10269</v>
      </c>
      <c r="H46" s="174">
        <v>5007</v>
      </c>
      <c r="I46" s="174">
        <v>502.35</v>
      </c>
      <c r="J46" s="173">
        <f t="shared" si="6"/>
        <v>160226.81166898986</v>
      </c>
      <c r="K46" s="175">
        <f t="shared" si="1"/>
        <v>32.000561547631285</v>
      </c>
      <c r="L46" s="176">
        <f t="shared" si="2"/>
        <v>1.2991686601628265</v>
      </c>
      <c r="M46" s="177">
        <f t="shared" si="3"/>
        <v>6.0230218557725118E-2</v>
      </c>
      <c r="N46" s="176">
        <f t="shared" si="4"/>
        <v>0.64817939673589053</v>
      </c>
      <c r="O46" s="178">
        <f t="shared" si="5"/>
        <v>9.9671543744401312</v>
      </c>
      <c r="P46" s="179"/>
    </row>
    <row r="47" spans="1:16" x14ac:dyDescent="0.25">
      <c r="A47" s="170" t="s">
        <v>24</v>
      </c>
      <c r="B47" s="171">
        <v>600</v>
      </c>
      <c r="C47" s="171"/>
      <c r="D47" s="172" t="s">
        <v>46</v>
      </c>
      <c r="E47" s="171" t="s">
        <v>23</v>
      </c>
      <c r="F47" s="173">
        <v>133797.75654511282</v>
      </c>
      <c r="G47" s="173">
        <v>12777</v>
      </c>
      <c r="H47" s="174">
        <v>4975</v>
      </c>
      <c r="I47" s="174">
        <v>763.048</v>
      </c>
      <c r="J47" s="173">
        <f t="shared" si="6"/>
        <v>121020.75654511282</v>
      </c>
      <c r="K47" s="175">
        <f t="shared" si="1"/>
        <v>24.325780210072928</v>
      </c>
      <c r="L47" s="176">
        <f t="shared" si="2"/>
        <v>0.98758552208203843</v>
      </c>
      <c r="M47" s="177">
        <f t="shared" si="3"/>
        <v>9.5494874726781809E-2</v>
      </c>
      <c r="N47" s="176">
        <f t="shared" si="4"/>
        <v>1.0276869613622854</v>
      </c>
      <c r="O47" s="178">
        <f t="shared" si="5"/>
        <v>6.5199043834725989</v>
      </c>
      <c r="P47" s="180"/>
    </row>
    <row r="48" spans="1:16" x14ac:dyDescent="0.25">
      <c r="A48" s="170" t="s">
        <v>24</v>
      </c>
      <c r="B48" s="171">
        <v>695</v>
      </c>
      <c r="C48" s="171"/>
      <c r="D48" s="172" t="s">
        <v>46</v>
      </c>
      <c r="E48" s="171" t="s">
        <v>23</v>
      </c>
      <c r="F48" s="173">
        <v>716871.41543598287</v>
      </c>
      <c r="G48" s="173">
        <v>111541</v>
      </c>
      <c r="H48" s="174">
        <v>43430</v>
      </c>
      <c r="I48" s="174">
        <v>2163.15</v>
      </c>
      <c r="J48" s="173">
        <f t="shared" si="6"/>
        <v>605330.41543598287</v>
      </c>
      <c r="K48" s="175">
        <f t="shared" si="1"/>
        <v>13.938070813630736</v>
      </c>
      <c r="L48" s="176">
        <f t="shared" si="2"/>
        <v>0.5658620945525128</v>
      </c>
      <c r="M48" s="177">
        <f t="shared" si="3"/>
        <v>0.15559415203096585</v>
      </c>
      <c r="N48" s="176">
        <f t="shared" si="4"/>
        <v>1.6744572079280375</v>
      </c>
      <c r="O48" s="178">
        <f t="shared" si="5"/>
        <v>20.077202228231975</v>
      </c>
      <c r="P48" s="180"/>
    </row>
    <row r="49" spans="1:20" ht="15.75" thickBot="1" x14ac:dyDescent="0.3">
      <c r="A49" s="182" t="s">
        <v>24</v>
      </c>
      <c r="B49" s="183">
        <v>698</v>
      </c>
      <c r="C49" s="183"/>
      <c r="D49" s="184" t="s">
        <v>46</v>
      </c>
      <c r="E49" s="183" t="s">
        <v>23</v>
      </c>
      <c r="F49" s="185">
        <v>3157006.6080189035</v>
      </c>
      <c r="G49" s="185">
        <v>517049</v>
      </c>
      <c r="H49" s="186">
        <v>201320</v>
      </c>
      <c r="I49" s="186">
        <v>9036.4853333333322</v>
      </c>
      <c r="J49" s="185">
        <f t="shared" si="6"/>
        <v>2639957.6080189035</v>
      </c>
      <c r="K49" s="187">
        <f t="shared" si="1"/>
        <v>13.113240651792687</v>
      </c>
      <c r="L49" s="188">
        <f t="shared" si="2"/>
        <v>0.53237538543267404</v>
      </c>
      <c r="M49" s="189">
        <f t="shared" si="3"/>
        <v>0.16377824445684658</v>
      </c>
      <c r="N49" s="188">
        <f t="shared" si="4"/>
        <v>1.7625319355060891</v>
      </c>
      <c r="O49" s="190">
        <f t="shared" si="5"/>
        <v>22.278573203387044</v>
      </c>
      <c r="P49" s="286"/>
    </row>
    <row r="50" spans="1:20" ht="24.75" thickBot="1" x14ac:dyDescent="0.45">
      <c r="A50" s="423" t="s">
        <v>141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</row>
    <row r="51" spans="1:20" x14ac:dyDescent="0.25">
      <c r="A51" s="161" t="s">
        <v>77</v>
      </c>
      <c r="B51" s="199">
        <v>761</v>
      </c>
      <c r="C51" s="199"/>
      <c r="D51" s="162" t="s">
        <v>46</v>
      </c>
      <c r="E51" s="199" t="s">
        <v>23</v>
      </c>
      <c r="F51" s="163">
        <v>167829.52249999999</v>
      </c>
      <c r="G51" s="163">
        <v>11287.92085</v>
      </c>
      <c r="H51" s="164">
        <v>4955</v>
      </c>
      <c r="I51" s="164">
        <v>371.19999999999902</v>
      </c>
      <c r="J51" s="163">
        <f>+F51-G51</f>
        <v>156541.60165</v>
      </c>
      <c r="K51" s="165">
        <f>+J51/H51</f>
        <v>31.592654217961655</v>
      </c>
      <c r="L51" s="166">
        <f>+IF(E51="Weekdays",K51/$G$65,IF(E51="Saturdays",K51/$G$66,IF(E51="Sundays",K51/$G$67,"NA")))</f>
        <v>1.2826083126774019</v>
      </c>
      <c r="M51" s="167">
        <f>G51/F51</f>
        <v>6.7258255173788042E-2</v>
      </c>
      <c r="N51" s="166">
        <f>+IF(E51="Weekdays",M51/$G$71,IF(E51="Saturdays",M51/$G$72,IF(E51="Sundays",M51/$G$73,"NA")))</f>
        <v>0.72381300131382265</v>
      </c>
      <c r="O51" s="168">
        <f>+H51/I51</f>
        <v>13.348599137931069</v>
      </c>
      <c r="P51" s="169" t="s">
        <v>129</v>
      </c>
    </row>
    <row r="52" spans="1:20" x14ac:dyDescent="0.25">
      <c r="A52" s="170" t="s">
        <v>8</v>
      </c>
      <c r="B52" s="171">
        <v>493</v>
      </c>
      <c r="C52" s="171"/>
      <c r="D52" s="172" t="s">
        <v>46</v>
      </c>
      <c r="E52" s="171" t="s">
        <v>23</v>
      </c>
      <c r="F52" s="173">
        <v>337627.88</v>
      </c>
      <c r="G52" s="173">
        <v>25814.31</v>
      </c>
      <c r="H52" s="174">
        <v>14719</v>
      </c>
      <c r="I52" s="174">
        <v>1084.44</v>
      </c>
      <c r="J52" s="173">
        <f>+F52-G52</f>
        <v>311813.57</v>
      </c>
      <c r="K52" s="175">
        <f>+J52/H52</f>
        <v>21.18442625178341</v>
      </c>
      <c r="L52" s="176">
        <f>+IF(E52="Weekdays",K52/$G$65,IF(E52="Saturdays",K52/$G$66,IF(E52="Sundays",K52/$G$67,"NA")))</f>
        <v>0.8600518659299865</v>
      </c>
      <c r="M52" s="177">
        <f>G52/F52</f>
        <v>7.6457874272705201E-2</v>
      </c>
      <c r="N52" s="176">
        <f>+IF(E52="Weekdays",M52/$G$71,IF(E52="Saturdays",M52/$G$72,IF(E52="Sundays",M52/$G$73,"NA")))</f>
        <v>0.8228165198220796</v>
      </c>
      <c r="O52" s="178">
        <f>+H52/I52</f>
        <v>13.572903987311422</v>
      </c>
      <c r="P52" s="180" t="s">
        <v>108</v>
      </c>
    </row>
    <row r="53" spans="1:20" x14ac:dyDescent="0.25">
      <c r="A53" s="170" t="s">
        <v>8</v>
      </c>
      <c r="B53" s="171">
        <v>472</v>
      </c>
      <c r="C53" s="171"/>
      <c r="D53" s="172" t="s">
        <v>46</v>
      </c>
      <c r="E53" s="171" t="s">
        <v>23</v>
      </c>
      <c r="F53" s="173">
        <v>523242.7</v>
      </c>
      <c r="G53" s="173">
        <v>34790.300000000003</v>
      </c>
      <c r="H53" s="174">
        <v>19837</v>
      </c>
      <c r="I53" s="174">
        <v>1524.76</v>
      </c>
      <c r="J53" s="173">
        <f>+F53-G53</f>
        <v>488452.4</v>
      </c>
      <c r="K53" s="175">
        <f>+J53/H53</f>
        <v>24.623299894137219</v>
      </c>
      <c r="L53" s="176">
        <f>+IF(E53="Weekdays",K53/$G$65,IF(E53="Saturdays",K53/$G$66,IF(E53="Sundays",K53/$G$67,"NA")))</f>
        <v>0.99966431791012234</v>
      </c>
      <c r="M53" s="177">
        <f>G53/F53</f>
        <v>6.6489795270913477E-2</v>
      </c>
      <c r="N53" s="176">
        <f>+IF(E53="Weekdays",M53/$G$71,IF(E53="Saturdays",M53/$G$72,IF(E53="Sundays",M53/$G$73,"NA")))</f>
        <v>0.71554306824387082</v>
      </c>
      <c r="O53" s="178">
        <f>+H53/I53</f>
        <v>13.009916314698707</v>
      </c>
      <c r="P53" s="180" t="s">
        <v>105</v>
      </c>
    </row>
    <row r="54" spans="1:20" ht="15.75" thickBot="1" x14ac:dyDescent="0.3">
      <c r="A54" s="182" t="s">
        <v>8</v>
      </c>
      <c r="B54" s="183">
        <v>484</v>
      </c>
      <c r="C54" s="183"/>
      <c r="D54" s="184" t="s">
        <v>46</v>
      </c>
      <c r="E54" s="183" t="s">
        <v>23</v>
      </c>
      <c r="F54" s="185">
        <v>187461.97</v>
      </c>
      <c r="G54" s="185">
        <v>6513.65</v>
      </c>
      <c r="H54" s="186">
        <v>3714</v>
      </c>
      <c r="I54" s="186">
        <v>607.20000000000005</v>
      </c>
      <c r="J54" s="185">
        <f>+F54-G54</f>
        <v>180948.32</v>
      </c>
      <c r="K54" s="187">
        <f>+J54/H54</f>
        <v>48.720603123317183</v>
      </c>
      <c r="L54" s="188">
        <f>+IF(E54="Weekdays",K54/$G$65,IF(E54="Saturdays",K54/$G$66,IF(E54="Sundays",K54/$G$67,"NA")))</f>
        <v>1.9779740611061265</v>
      </c>
      <c r="M54" s="189">
        <f>G54/F54</f>
        <v>3.4746514186317363E-2</v>
      </c>
      <c r="N54" s="188">
        <f>+IF(E54="Weekdays",M54/$G$71,IF(E54="Saturdays",M54/$G$72,IF(E54="Sundays",M54/$G$73,"NA")))</f>
        <v>0.37393147730946735</v>
      </c>
      <c r="O54" s="190">
        <f>+H54/I54</f>
        <v>6.1166007905138331</v>
      </c>
      <c r="P54" s="191" t="s">
        <v>106</v>
      </c>
    </row>
    <row r="55" spans="1:20" ht="24.75" thickBot="1" x14ac:dyDescent="0.45">
      <c r="A55" s="423" t="s">
        <v>144</v>
      </c>
      <c r="B55" s="423"/>
      <c r="C55" s="423"/>
      <c r="D55" s="423"/>
      <c r="E55" s="423"/>
      <c r="F55" s="423"/>
      <c r="G55" s="423"/>
      <c r="H55" s="423"/>
      <c r="I55" s="423"/>
      <c r="J55" s="423"/>
      <c r="K55" s="423"/>
      <c r="L55" s="423"/>
      <c r="M55" s="423"/>
      <c r="N55" s="423"/>
      <c r="O55" s="423"/>
      <c r="P55" s="423"/>
    </row>
    <row r="56" spans="1:20" x14ac:dyDescent="0.25">
      <c r="A56" s="161" t="s">
        <v>77</v>
      </c>
      <c r="B56" s="199">
        <v>860</v>
      </c>
      <c r="C56" s="199"/>
      <c r="D56" s="162" t="s">
        <v>46</v>
      </c>
      <c r="E56" s="199" t="s">
        <v>23</v>
      </c>
      <c r="F56" s="163">
        <v>256617.26190000001</v>
      </c>
      <c r="G56" s="163">
        <v>6989.4673549999998</v>
      </c>
      <c r="H56" s="164">
        <v>3941</v>
      </c>
      <c r="I56" s="164">
        <v>513.75</v>
      </c>
      <c r="J56" s="163">
        <f t="shared" ref="J56:J61" si="7">+F56-G56</f>
        <v>249627.79454500001</v>
      </c>
      <c r="K56" s="165">
        <f t="shared" ref="K56:K61" si="8">+J56/H56</f>
        <v>63.341231805379351</v>
      </c>
      <c r="L56" s="166">
        <f t="shared" ref="L56:L61" si="9">+IF(E56="Weekdays",K56/$G$65,IF(E56="Saturdays",K56/$G$66,IF(E56="Sundays",K56/$G$67,"NA")))</f>
        <v>2.571546850362973</v>
      </c>
      <c r="M56" s="167">
        <f t="shared" ref="M56:M61" si="10">G56/F56</f>
        <v>2.7236933724761245E-2</v>
      </c>
      <c r="N56" s="166">
        <f t="shared" ref="N56:N61" si="11">+IF(E56="Weekdays",M56/$G$71,IF(E56="Saturdays",M56/$G$72,IF(E56="Sundays",M56/$G$73,"NA")))</f>
        <v>0.29311564349930158</v>
      </c>
      <c r="O56" s="168">
        <f t="shared" ref="O56:O61" si="12">+H56/I56</f>
        <v>7.6710462287104626</v>
      </c>
      <c r="P56" s="169"/>
    </row>
    <row r="57" spans="1:20" x14ac:dyDescent="0.25">
      <c r="A57" s="170" t="s">
        <v>77</v>
      </c>
      <c r="B57" s="171">
        <v>134</v>
      </c>
      <c r="C57" s="171"/>
      <c r="D57" s="172" t="s">
        <v>46</v>
      </c>
      <c r="E57" s="171" t="s">
        <v>23</v>
      </c>
      <c r="F57" s="173">
        <v>131917.71400000001</v>
      </c>
      <c r="G57" s="173">
        <v>4693.1553219999996</v>
      </c>
      <c r="H57" s="174">
        <v>3247</v>
      </c>
      <c r="I57" s="174">
        <v>253.89</v>
      </c>
      <c r="J57" s="173">
        <f t="shared" si="7"/>
        <v>127224.558678</v>
      </c>
      <c r="K57" s="175">
        <f t="shared" si="8"/>
        <v>39.182186226670773</v>
      </c>
      <c r="L57" s="176">
        <f t="shared" si="9"/>
        <v>1.5907304722320477</v>
      </c>
      <c r="M57" s="177">
        <f t="shared" si="10"/>
        <v>3.5576384548325325E-2</v>
      </c>
      <c r="N57" s="176">
        <f t="shared" si="11"/>
        <v>0.38286229116829112</v>
      </c>
      <c r="O57" s="178">
        <f t="shared" si="12"/>
        <v>12.789003111583757</v>
      </c>
      <c r="P57" s="179"/>
      <c r="Q57" s="2"/>
      <c r="S57" s="2"/>
      <c r="T57" s="2"/>
    </row>
    <row r="58" spans="1:20" x14ac:dyDescent="0.25">
      <c r="A58" s="170" t="s">
        <v>77</v>
      </c>
      <c r="B58" s="171">
        <v>156</v>
      </c>
      <c r="C58" s="171"/>
      <c r="D58" s="172" t="s">
        <v>46</v>
      </c>
      <c r="E58" s="171" t="s">
        <v>23</v>
      </c>
      <c r="F58" s="173">
        <v>30820.423460000002</v>
      </c>
      <c r="G58" s="173">
        <v>741.68312360000004</v>
      </c>
      <c r="H58" s="174">
        <v>380</v>
      </c>
      <c r="I58" s="174">
        <v>73.28</v>
      </c>
      <c r="J58" s="173">
        <f t="shared" si="7"/>
        <v>30078.740336400002</v>
      </c>
      <c r="K58" s="175">
        <f t="shared" si="8"/>
        <v>79.154579832631583</v>
      </c>
      <c r="L58" s="176">
        <f t="shared" si="9"/>
        <v>3.2135420271874393</v>
      </c>
      <c r="M58" s="177">
        <f t="shared" si="10"/>
        <v>2.4064663633275075E-2</v>
      </c>
      <c r="N58" s="176">
        <f t="shared" si="11"/>
        <v>0.2589766321621248</v>
      </c>
      <c r="O58" s="178">
        <f t="shared" si="12"/>
        <v>5.1855895196506552</v>
      </c>
      <c r="P58" s="179"/>
      <c r="Q58" s="5"/>
      <c r="S58" s="5"/>
      <c r="T58" s="7"/>
    </row>
    <row r="59" spans="1:20" x14ac:dyDescent="0.25">
      <c r="A59" s="170" t="s">
        <v>77</v>
      </c>
      <c r="B59" s="172">
        <v>765</v>
      </c>
      <c r="C59" s="172"/>
      <c r="D59" s="172" t="s">
        <v>46</v>
      </c>
      <c r="E59" s="172" t="s">
        <v>23</v>
      </c>
      <c r="F59" s="173">
        <v>98099.269159999996</v>
      </c>
      <c r="G59" s="173">
        <v>3085.2915069999999</v>
      </c>
      <c r="H59" s="174">
        <v>2199</v>
      </c>
      <c r="I59" s="174">
        <v>195.3</v>
      </c>
      <c r="J59" s="173">
        <f t="shared" si="7"/>
        <v>95013.977652999994</v>
      </c>
      <c r="K59" s="175">
        <f t="shared" si="8"/>
        <v>43.207811574806726</v>
      </c>
      <c r="L59" s="176">
        <f t="shared" si="9"/>
        <v>1.7541640507981846</v>
      </c>
      <c r="M59" s="177">
        <f t="shared" si="10"/>
        <v>3.1450708383646435E-2</v>
      </c>
      <c r="N59" s="176">
        <f t="shared" si="11"/>
        <v>0.33846301200933782</v>
      </c>
      <c r="O59" s="178">
        <f t="shared" si="12"/>
        <v>11.259600614439323</v>
      </c>
      <c r="P59" s="179"/>
    </row>
    <row r="60" spans="1:20" x14ac:dyDescent="0.25">
      <c r="A60" s="170" t="s">
        <v>77</v>
      </c>
      <c r="B60" s="172">
        <v>94</v>
      </c>
      <c r="C60" s="172"/>
      <c r="D60" s="172" t="s">
        <v>46</v>
      </c>
      <c r="E60" s="172" t="s">
        <v>43</v>
      </c>
      <c r="F60" s="173">
        <v>550201.36840000004</v>
      </c>
      <c r="G60" s="173">
        <v>21439.880929999999</v>
      </c>
      <c r="H60" s="174">
        <v>19059</v>
      </c>
      <c r="I60" s="174">
        <v>986</v>
      </c>
      <c r="J60" s="173">
        <f t="shared" si="7"/>
        <v>528761.48747000005</v>
      </c>
      <c r="K60" s="175">
        <f t="shared" si="8"/>
        <v>27.743401409832629</v>
      </c>
      <c r="L60" s="176">
        <f t="shared" si="9"/>
        <v>1.4432809101935717</v>
      </c>
      <c r="M60" s="177">
        <f t="shared" si="10"/>
        <v>3.8967334800252738E-2</v>
      </c>
      <c r="N60" s="176">
        <f t="shared" si="11"/>
        <v>0.78350810344120392</v>
      </c>
      <c r="O60" s="178">
        <f t="shared" si="12"/>
        <v>19.329614604462474</v>
      </c>
      <c r="P60" s="179"/>
    </row>
    <row r="61" spans="1:20" ht="15.75" thickBot="1" x14ac:dyDescent="0.3">
      <c r="A61" s="182" t="s">
        <v>77</v>
      </c>
      <c r="B61" s="183">
        <v>94</v>
      </c>
      <c r="C61" s="183"/>
      <c r="D61" s="184" t="s">
        <v>46</v>
      </c>
      <c r="E61" s="183" t="s">
        <v>44</v>
      </c>
      <c r="F61" s="185">
        <v>530905.18629999994</v>
      </c>
      <c r="G61" s="185">
        <v>18839.854210000001</v>
      </c>
      <c r="H61" s="186">
        <v>16672</v>
      </c>
      <c r="I61" s="186">
        <v>936.59</v>
      </c>
      <c r="J61" s="185">
        <f t="shared" si="7"/>
        <v>512065.33208999992</v>
      </c>
      <c r="K61" s="187">
        <f t="shared" si="8"/>
        <v>30.714091416146829</v>
      </c>
      <c r="L61" s="188">
        <f t="shared" si="9"/>
        <v>1</v>
      </c>
      <c r="M61" s="189">
        <f t="shared" si="10"/>
        <v>3.5486287751866331E-2</v>
      </c>
      <c r="N61" s="188">
        <f t="shared" si="11"/>
        <v>1</v>
      </c>
      <c r="O61" s="190">
        <f t="shared" si="12"/>
        <v>17.800745256729197</v>
      </c>
      <c r="P61" s="191"/>
    </row>
    <row r="62" spans="1:20" x14ac:dyDescent="0.25">
      <c r="A62" s="200"/>
      <c r="B62" s="200"/>
      <c r="C62" s="200"/>
      <c r="D62" s="200"/>
      <c r="E62" s="200"/>
      <c r="F62" s="201"/>
      <c r="G62" s="201"/>
      <c r="H62" s="202"/>
      <c r="I62" s="202"/>
      <c r="J62" s="203"/>
      <c r="K62" s="202"/>
      <c r="L62" s="204"/>
      <c r="M62" s="204"/>
      <c r="N62" s="204"/>
      <c r="O62" s="200"/>
      <c r="P62" s="205"/>
    </row>
    <row r="63" spans="1:20" ht="15.75" thickBot="1" x14ac:dyDescent="0.3">
      <c r="A63" s="200"/>
      <c r="B63" s="200"/>
      <c r="C63" s="200"/>
      <c r="D63" s="200"/>
      <c r="E63" s="471" t="s">
        <v>70</v>
      </c>
      <c r="F63" s="471"/>
      <c r="G63" s="471"/>
      <c r="H63" s="471"/>
      <c r="I63" s="471"/>
      <c r="J63" s="471"/>
      <c r="K63" s="471"/>
      <c r="L63" s="200"/>
      <c r="M63" s="200"/>
      <c r="N63" s="200"/>
      <c r="O63" s="200"/>
      <c r="P63" s="205"/>
    </row>
    <row r="64" spans="1:20" ht="36" x14ac:dyDescent="0.25">
      <c r="A64" s="200"/>
      <c r="B64" s="200"/>
      <c r="C64" s="200"/>
      <c r="D64" s="200"/>
      <c r="E64" s="206" t="s">
        <v>41</v>
      </c>
      <c r="F64" s="206" t="s">
        <v>33</v>
      </c>
      <c r="G64" s="207" t="s">
        <v>34</v>
      </c>
      <c r="H64" s="207" t="s">
        <v>35</v>
      </c>
      <c r="I64" s="207" t="s">
        <v>36</v>
      </c>
      <c r="J64" s="208" t="s">
        <v>37</v>
      </c>
      <c r="K64" s="209" t="s">
        <v>40</v>
      </c>
      <c r="L64" s="200"/>
      <c r="M64" s="200"/>
      <c r="N64" s="200"/>
      <c r="O64" s="200"/>
      <c r="P64" s="205"/>
    </row>
    <row r="65" spans="1:16" x14ac:dyDescent="0.25">
      <c r="A65" s="200"/>
      <c r="B65" s="200"/>
      <c r="C65" s="200"/>
      <c r="D65" s="200"/>
      <c r="E65" s="210">
        <f>COUNTIF(E4:E61, "Weekdays")</f>
        <v>53</v>
      </c>
      <c r="F65" s="211" t="s">
        <v>23</v>
      </c>
      <c r="G65" s="212">
        <f>AVERAGEIF($E$4:$E$61,"Weekdays",$K$4:$K$61)</f>
        <v>24.631568270451208</v>
      </c>
      <c r="H65" s="213">
        <f>G65*1.2</f>
        <v>29.557881924541448</v>
      </c>
      <c r="I65" s="214">
        <f>G65*1.35</f>
        <v>33.252617165109136</v>
      </c>
      <c r="J65" s="215">
        <f>G65*1.6</f>
        <v>39.410509232721935</v>
      </c>
      <c r="K65" s="216">
        <f>+SUMIF($E$4:$E$61,"Weekdays",$J$4:$J$61)/SUMIF($E$4:$E$61,"Weekdays",$H$4:$H$61)</f>
        <v>16.73457498172888</v>
      </c>
      <c r="L65" s="200"/>
      <c r="M65" s="200"/>
      <c r="N65" s="200"/>
      <c r="O65" s="200"/>
      <c r="P65" s="205"/>
    </row>
    <row r="66" spans="1:16" x14ac:dyDescent="0.25">
      <c r="A66" s="200"/>
      <c r="B66" s="200"/>
      <c r="C66" s="200"/>
      <c r="D66" s="200"/>
      <c r="E66" s="210">
        <f>COUNTIF(E4:E61, "Saturdays")</f>
        <v>2</v>
      </c>
      <c r="F66" s="217" t="s">
        <v>43</v>
      </c>
      <c r="G66" s="218">
        <f>AVERAGEIF($E$4:$E$61,"Saturdays",$K$4:$K$61)</f>
        <v>19.222454349591381</v>
      </c>
      <c r="H66" s="219">
        <f>G66*1.2</f>
        <v>23.066945219509655</v>
      </c>
      <c r="I66" s="220">
        <f>G66*1.35</f>
        <v>25.950313371948365</v>
      </c>
      <c r="J66" s="221">
        <f>G66*1.6</f>
        <v>30.755926959346212</v>
      </c>
      <c r="K66" s="216">
        <f>+SUMIF($E$4:$E$61,"Saturdays",$J$4:$J$61)/SUMIF($E$4:$E$61,"Saturdays",$H$4:$H$61)</f>
        <v>22.663406896843814</v>
      </c>
      <c r="L66" s="200"/>
      <c r="M66" s="200"/>
      <c r="N66" s="200"/>
      <c r="O66" s="205"/>
      <c r="P66" s="200"/>
    </row>
    <row r="67" spans="1:16" ht="15.75" thickBot="1" x14ac:dyDescent="0.3">
      <c r="A67" s="200"/>
      <c r="B67" s="200"/>
      <c r="C67" s="200"/>
      <c r="D67" s="200"/>
      <c r="E67" s="222">
        <f>COUNTIF(E4:E61, "Sundays")</f>
        <v>1</v>
      </c>
      <c r="F67" s="223" t="s">
        <v>44</v>
      </c>
      <c r="G67" s="224">
        <f>AVERAGEIF($E$4:$E$61,"Sundays",$K$4:$K$61)</f>
        <v>30.714091416146829</v>
      </c>
      <c r="H67" s="225">
        <f>G67*1.2</f>
        <v>36.856909699376196</v>
      </c>
      <c r="I67" s="226">
        <f>G67*1.35</f>
        <v>41.464023411798223</v>
      </c>
      <c r="J67" s="227">
        <f>G67*1.6</f>
        <v>49.14254626583493</v>
      </c>
      <c r="K67" s="216">
        <f>+SUMIF($E$4:$E$61,"Sundays",$J$4:$J$61)/SUMIF($E$4:$E$61,"Sundays",$H$4:$H$61)</f>
        <v>30.714091416146829</v>
      </c>
      <c r="L67" s="200"/>
      <c r="M67" s="200"/>
      <c r="N67" s="200"/>
      <c r="O67" s="205"/>
      <c r="P67" s="200"/>
    </row>
    <row r="68" spans="1:16" ht="15.75" thickBot="1" x14ac:dyDescent="0.3">
      <c r="A68" s="200"/>
      <c r="B68" s="200"/>
      <c r="C68" s="200"/>
      <c r="D68" s="200"/>
      <c r="E68" s="200"/>
      <c r="F68" s="228" t="s">
        <v>62</v>
      </c>
      <c r="G68" s="229">
        <v>20</v>
      </c>
      <c r="H68" s="230"/>
      <c r="I68" s="230"/>
      <c r="J68" s="231"/>
      <c r="K68" s="232">
        <f>+SUM($J$4:$J$61)/SUM($H$4:$H$61)</f>
        <v>16.890663087361105</v>
      </c>
      <c r="L68" s="200"/>
      <c r="M68" s="200"/>
      <c r="N68" s="200"/>
      <c r="O68" s="205"/>
      <c r="P68" s="200"/>
    </row>
    <row r="69" spans="1:16" ht="15.75" thickBot="1" x14ac:dyDescent="0.3">
      <c r="A69" s="200"/>
      <c r="B69" s="200"/>
      <c r="C69" s="200"/>
      <c r="D69" s="200"/>
      <c r="E69" s="471" t="s">
        <v>69</v>
      </c>
      <c r="F69" s="471"/>
      <c r="G69" s="471"/>
      <c r="H69" s="471"/>
      <c r="I69" s="471"/>
      <c r="J69" s="471"/>
      <c r="K69" s="471"/>
      <c r="L69" s="200"/>
      <c r="M69" s="200"/>
      <c r="N69" s="200"/>
      <c r="O69" s="205"/>
      <c r="P69" s="200"/>
    </row>
    <row r="70" spans="1:16" ht="36" x14ac:dyDescent="0.25">
      <c r="A70" s="200"/>
      <c r="B70" s="200"/>
      <c r="C70" s="200"/>
      <c r="D70" s="200"/>
      <c r="E70" s="206" t="s">
        <v>41</v>
      </c>
      <c r="F70" s="206" t="s">
        <v>69</v>
      </c>
      <c r="G70" s="207" t="s">
        <v>34</v>
      </c>
      <c r="H70" s="207" t="s">
        <v>35</v>
      </c>
      <c r="I70" s="207" t="s">
        <v>36</v>
      </c>
      <c r="J70" s="208" t="s">
        <v>37</v>
      </c>
      <c r="K70" s="209" t="s">
        <v>123</v>
      </c>
      <c r="L70" s="200"/>
      <c r="M70" s="200"/>
      <c r="N70" s="200"/>
      <c r="O70" s="205"/>
      <c r="P70" s="200"/>
    </row>
    <row r="71" spans="1:16" x14ac:dyDescent="0.25">
      <c r="A71" s="200"/>
      <c r="B71" s="200"/>
      <c r="C71" s="200"/>
      <c r="D71" s="200"/>
      <c r="E71" s="210">
        <f>COUNTIF(E4:E61, "Weekdays")</f>
        <v>53</v>
      </c>
      <c r="F71" s="211" t="s">
        <v>23</v>
      </c>
      <c r="G71" s="233">
        <f>AVERAGEIF($E$4:$E$61,"Weekdays",$M$4:$M$61)</f>
        <v>9.2922142945353045E-2</v>
      </c>
      <c r="H71" s="234">
        <f>G71*0.8</f>
        <v>7.4337714356282433E-2</v>
      </c>
      <c r="I71" s="235">
        <f>G71*0.65</f>
        <v>6.0399392914479481E-2</v>
      </c>
      <c r="J71" s="236">
        <f>G71*0.4</f>
        <v>3.7168857178141217E-2</v>
      </c>
      <c r="K71" s="237">
        <f>+SUMIF($E$4:$E$61,"Weekdays",$G$4:$G$61)/SUMIF($E$4:$E$61,"Weekdays",$F$4:$F$61)</f>
        <v>0.10491415807278091</v>
      </c>
      <c r="L71" s="200"/>
      <c r="M71" s="200"/>
      <c r="N71" s="200"/>
      <c r="O71" s="205"/>
      <c r="P71" s="200"/>
    </row>
    <row r="72" spans="1:16" x14ac:dyDescent="0.25">
      <c r="A72" s="200"/>
      <c r="B72" s="200"/>
      <c r="C72" s="200"/>
      <c r="D72" s="200"/>
      <c r="E72" s="210">
        <f>COUNTIF(E4:E61, "Saturdays")</f>
        <v>2</v>
      </c>
      <c r="F72" s="217" t="s">
        <v>43</v>
      </c>
      <c r="G72" s="238">
        <f>AVERAGEIF($E$4:$E$61,"Saturdays",$M$4:$M$61)</f>
        <v>4.97344374986122E-2</v>
      </c>
      <c r="H72" s="239">
        <f>G72*0.8</f>
        <v>3.9787549998889761E-2</v>
      </c>
      <c r="I72" s="240">
        <f>G72*0.65</f>
        <v>3.2327384374097934E-2</v>
      </c>
      <c r="J72" s="241">
        <f>G72*0.4</f>
        <v>1.9893774999444881E-2</v>
      </c>
      <c r="K72" s="237">
        <f>+SUMIF($E$4:$E$61,"Saturdays",$G$4:$G$61)/SUMIF($E$4:$E$61,"Saturdays",$F$4:$F$61)</f>
        <v>4.2057894784489278E-2</v>
      </c>
      <c r="L72" s="200"/>
      <c r="M72" s="200"/>
      <c r="N72" s="200"/>
      <c r="O72" s="205"/>
      <c r="P72" s="200"/>
    </row>
    <row r="73" spans="1:16" ht="15.75" thickBot="1" x14ac:dyDescent="0.3">
      <c r="A73" s="200"/>
      <c r="B73" s="200"/>
      <c r="C73" s="200"/>
      <c r="D73" s="200"/>
      <c r="E73" s="222">
        <f>COUNTIF(E4:E61, "Sundays")</f>
        <v>1</v>
      </c>
      <c r="F73" s="243" t="s">
        <v>44</v>
      </c>
      <c r="G73" s="446">
        <f>AVERAGEIF($E$4:$E$61,"Sundays",$M$4:$M$61)</f>
        <v>3.5486287751866331E-2</v>
      </c>
      <c r="H73" s="245">
        <f>G73*0.8</f>
        <v>2.8389030201493068E-2</v>
      </c>
      <c r="I73" s="246">
        <f>G73*0.65</f>
        <v>2.3066087038713115E-2</v>
      </c>
      <c r="J73" s="247">
        <f>G73*0.4</f>
        <v>1.4194515100746534E-2</v>
      </c>
      <c r="K73" s="248">
        <f>+SUMIF($E$4:$E$61,"Sundays",$G$4:$G$61)/SUMIF($E$4:$E$61,"Sundays",$F$4:$F$61)</f>
        <v>3.5486287751866331E-2</v>
      </c>
      <c r="L73" s="200"/>
      <c r="M73" s="200"/>
      <c r="N73" s="200"/>
      <c r="O73" s="205"/>
      <c r="P73" s="200"/>
    </row>
    <row r="74" spans="1:16" x14ac:dyDescent="0.25">
      <c r="O74" s="4"/>
    </row>
    <row r="75" spans="1:16" x14ac:dyDescent="0.25">
      <c r="O75" s="4"/>
      <c r="P75"/>
    </row>
    <row r="76" spans="1:16" x14ac:dyDescent="0.25">
      <c r="O76" s="4"/>
      <c r="P76"/>
    </row>
    <row r="77" spans="1:16" x14ac:dyDescent="0.25">
      <c r="O77" s="4"/>
      <c r="P77"/>
    </row>
    <row r="78" spans="1:16" x14ac:dyDescent="0.25">
      <c r="O78" s="4"/>
      <c r="P78"/>
    </row>
    <row r="79" spans="1:16" x14ac:dyDescent="0.25">
      <c r="O79" s="4"/>
      <c r="P79"/>
    </row>
    <row r="80" spans="1:16" x14ac:dyDescent="0.25">
      <c r="O80" s="4"/>
      <c r="P80"/>
    </row>
    <row r="81" spans="15:16" x14ac:dyDescent="0.25">
      <c r="O81" s="4"/>
      <c r="P81"/>
    </row>
    <row r="82" spans="15:16" x14ac:dyDescent="0.25">
      <c r="O82" s="4"/>
      <c r="P82"/>
    </row>
    <row r="83" spans="15:16" x14ac:dyDescent="0.25">
      <c r="O83" s="4"/>
      <c r="P83"/>
    </row>
    <row r="84" spans="15:16" x14ac:dyDescent="0.25">
      <c r="O84" s="4"/>
      <c r="P84"/>
    </row>
    <row r="85" spans="15:16" x14ac:dyDescent="0.25">
      <c r="O85" s="4"/>
      <c r="P85"/>
    </row>
    <row r="86" spans="15:16" x14ac:dyDescent="0.25">
      <c r="O86" s="4"/>
      <c r="P86"/>
    </row>
    <row r="87" spans="15:16" x14ac:dyDescent="0.25">
      <c r="O87" s="4"/>
      <c r="P87"/>
    </row>
    <row r="88" spans="15:16" x14ac:dyDescent="0.25">
      <c r="O88" s="4"/>
      <c r="P88"/>
    </row>
    <row r="89" spans="15:16" x14ac:dyDescent="0.25">
      <c r="O89" s="4"/>
      <c r="P89"/>
    </row>
    <row r="90" spans="15:16" x14ac:dyDescent="0.25">
      <c r="O90" s="4"/>
      <c r="P90"/>
    </row>
    <row r="91" spans="15:16" x14ac:dyDescent="0.25">
      <c r="O91" s="4"/>
      <c r="P91"/>
    </row>
    <row r="92" spans="15:16" x14ac:dyDescent="0.25">
      <c r="O92" s="4"/>
      <c r="P92"/>
    </row>
    <row r="93" spans="15:16" x14ac:dyDescent="0.25">
      <c r="O93" s="4"/>
      <c r="P93"/>
    </row>
    <row r="94" spans="15:16" x14ac:dyDescent="0.25">
      <c r="O94" s="4"/>
      <c r="P94"/>
    </row>
    <row r="95" spans="15:16" x14ac:dyDescent="0.25">
      <c r="O95" s="4"/>
      <c r="P95"/>
    </row>
    <row r="96" spans="15:16" x14ac:dyDescent="0.25">
      <c r="O96" s="4"/>
      <c r="P96"/>
    </row>
    <row r="97" spans="15:16" x14ac:dyDescent="0.25">
      <c r="O97" s="4"/>
      <c r="P97"/>
    </row>
    <row r="98" spans="15:16" x14ac:dyDescent="0.25">
      <c r="O98" s="4"/>
      <c r="P98"/>
    </row>
    <row r="99" spans="15:16" x14ac:dyDescent="0.25">
      <c r="O99" s="4"/>
      <c r="P99"/>
    </row>
    <row r="100" spans="15:16" x14ac:dyDescent="0.25">
      <c r="O100" s="4"/>
      <c r="P100"/>
    </row>
    <row r="101" spans="15:16" x14ac:dyDescent="0.25">
      <c r="O101" s="4"/>
      <c r="P101"/>
    </row>
    <row r="102" spans="15:16" x14ac:dyDescent="0.25">
      <c r="O102" s="4"/>
      <c r="P102"/>
    </row>
    <row r="103" spans="15:16" x14ac:dyDescent="0.25">
      <c r="O103" s="4"/>
      <c r="P103"/>
    </row>
    <row r="104" spans="15:16" x14ac:dyDescent="0.25">
      <c r="O104" s="4"/>
      <c r="P104"/>
    </row>
    <row r="105" spans="15:16" x14ac:dyDescent="0.25">
      <c r="O105" s="4"/>
      <c r="P105"/>
    </row>
    <row r="106" spans="15:16" x14ac:dyDescent="0.25">
      <c r="O106" s="4"/>
      <c r="P106"/>
    </row>
    <row r="107" spans="15:16" x14ac:dyDescent="0.25">
      <c r="O107" s="4"/>
      <c r="P107"/>
    </row>
    <row r="108" spans="15:16" x14ac:dyDescent="0.25">
      <c r="O108" s="4"/>
      <c r="P108"/>
    </row>
    <row r="109" spans="15:16" x14ac:dyDescent="0.25">
      <c r="O109" s="4"/>
      <c r="P109"/>
    </row>
    <row r="110" spans="15:16" x14ac:dyDescent="0.25">
      <c r="O110" s="4"/>
      <c r="P110"/>
    </row>
    <row r="111" spans="15:16" x14ac:dyDescent="0.25">
      <c r="O111" s="4"/>
      <c r="P111"/>
    </row>
    <row r="112" spans="15:16" x14ac:dyDescent="0.25">
      <c r="O112" s="4"/>
      <c r="P112"/>
    </row>
    <row r="113" spans="15:16" x14ac:dyDescent="0.25">
      <c r="O113" s="4"/>
      <c r="P113"/>
    </row>
  </sheetData>
  <autoFilter ref="A3:P61" xr:uid="{6D0430F2-5540-4846-ADF8-D32AEEFA229B}"/>
  <sortState xmlns:xlrd2="http://schemas.microsoft.com/office/spreadsheetml/2017/richdata2" ref="A4:P49">
    <sortCondition ref="E4:E49" customList="Weekday,Wk,Saturday,Sat,Sunday,Sun,Sunday/Holiday,Sunday / Holiday,Reduced"/>
    <sortCondition ref="B4:B49"/>
  </sortState>
  <mergeCells count="3">
    <mergeCell ref="A2:O2"/>
    <mergeCell ref="E63:K63"/>
    <mergeCell ref="E69:K69"/>
  </mergeCells>
  <conditionalFormatting sqref="L4:L49 L51:L54">
    <cfRule type="cellIs" dxfId="77" priority="11" operator="greaterThan">
      <formula>1.6</formula>
    </cfRule>
  </conditionalFormatting>
  <conditionalFormatting sqref="L4:L49">
    <cfRule type="cellIs" dxfId="76" priority="12" operator="between">
      <formula>1.35</formula>
      <formula>1.6</formula>
    </cfRule>
    <cfRule type="cellIs" dxfId="75" priority="13" operator="between">
      <formula>1.2</formula>
      <formula>1.35</formula>
    </cfRule>
  </conditionalFormatting>
  <conditionalFormatting sqref="L51:L61">
    <cfRule type="cellIs" dxfId="74" priority="2" operator="between">
      <formula>1.35</formula>
      <formula>1.6</formula>
    </cfRule>
    <cfRule type="cellIs" dxfId="73" priority="3" operator="between">
      <formula>1.2</formula>
      <formula>1.35</formula>
    </cfRule>
  </conditionalFormatting>
  <conditionalFormatting sqref="L55">
    <cfRule type="cellIs" dxfId="72" priority="10" operator="greaterThan">
      <formula>1.6</formula>
    </cfRule>
  </conditionalFormatting>
  <conditionalFormatting sqref="L56:L61">
    <cfRule type="cellIs" dxfId="71" priority="1" operator="greaterThan">
      <formula>1.6</formula>
    </cfRule>
  </conditionalFormatting>
  <conditionalFormatting sqref="N4:N49 N51:N54 N56:N62">
    <cfRule type="cellIs" dxfId="70" priority="22" operator="between">
      <formula>0.65</formula>
      <formula>0.4</formula>
    </cfRule>
    <cfRule type="cellIs" dxfId="69" priority="23" operator="between">
      <formula>0.8</formula>
      <formula>0.65</formula>
    </cfRule>
  </conditionalFormatting>
  <conditionalFormatting sqref="N4:N49 N51:N54">
    <cfRule type="cellIs" dxfId="68" priority="21" operator="lessThan">
      <formula>0.4</formula>
    </cfRule>
  </conditionalFormatting>
  <conditionalFormatting sqref="N56:N61">
    <cfRule type="cellIs" dxfId="67" priority="5" operator="lessThan">
      <formula>0.4</formula>
    </cfRule>
  </conditionalFormatting>
  <conditionalFormatting sqref="O4:O49 O51:O54">
    <cfRule type="cellIs" dxfId="66" priority="20" operator="lessThan">
      <formula>20</formula>
    </cfRule>
  </conditionalFormatting>
  <conditionalFormatting sqref="O56:O61">
    <cfRule type="cellIs" dxfId="65" priority="4" operator="lessThan">
      <formula>20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60C47-4874-4271-BE45-136EFC5E64B8}">
  <dimension ref="A1:T90"/>
  <sheetViews>
    <sheetView zoomScale="90" zoomScaleNormal="90" workbookViewId="0">
      <pane ySplit="2" topLeftCell="A3" activePane="bottomLeft" state="frozen"/>
      <selection pane="bottomLeft" activeCell="A7" sqref="A7"/>
    </sheetView>
  </sheetViews>
  <sheetFormatPr defaultRowHeight="15" x14ac:dyDescent="0.25"/>
  <cols>
    <col min="1" max="1" width="25.5703125" customWidth="1"/>
    <col min="2" max="3" width="9" style="8" customWidth="1"/>
    <col min="4" max="5" width="10.7109375" customWidth="1"/>
    <col min="6" max="6" width="14.5703125" customWidth="1"/>
    <col min="7" max="7" width="15.140625" bestFit="1" customWidth="1"/>
    <col min="8" max="8" width="16.28515625" bestFit="1" customWidth="1"/>
    <col min="9" max="9" width="11.85546875" customWidth="1"/>
    <col min="10" max="10" width="18.140625" bestFit="1" customWidth="1"/>
    <col min="11" max="11" width="11.7109375" customWidth="1"/>
    <col min="12" max="14" width="14.140625" customWidth="1"/>
    <col min="15" max="15" width="12.85546875" customWidth="1"/>
    <col min="16" max="16" width="40.7109375" customWidth="1"/>
    <col min="17" max="17" width="16.42578125" bestFit="1" customWidth="1"/>
    <col min="18" max="18" width="20.85546875" bestFit="1" customWidth="1"/>
    <col min="19" max="19" width="26.7109375" bestFit="1" customWidth="1"/>
    <col min="20" max="20" width="19.7109375" bestFit="1" customWidth="1"/>
  </cols>
  <sheetData>
    <row r="1" spans="1:20" ht="37.5" thickBot="1" x14ac:dyDescent="0.75">
      <c r="A1" s="137" t="s">
        <v>79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20" s="4" customFormat="1" ht="60.75" thickBot="1" x14ac:dyDescent="0.3">
      <c r="A2" s="152" t="s">
        <v>7</v>
      </c>
      <c r="B2" s="153" t="s">
        <v>49</v>
      </c>
      <c r="C2" s="153" t="s">
        <v>50</v>
      </c>
      <c r="D2" s="154" t="s">
        <v>0</v>
      </c>
      <c r="E2" s="154" t="s">
        <v>1</v>
      </c>
      <c r="F2" s="155" t="s">
        <v>2</v>
      </c>
      <c r="G2" s="155" t="s">
        <v>27</v>
      </c>
      <c r="H2" s="155" t="s">
        <v>29</v>
      </c>
      <c r="I2" s="156" t="s">
        <v>68</v>
      </c>
      <c r="J2" s="156" t="s">
        <v>28</v>
      </c>
      <c r="K2" s="157" t="s">
        <v>11</v>
      </c>
      <c r="L2" s="158" t="s">
        <v>48</v>
      </c>
      <c r="M2" s="159" t="s">
        <v>69</v>
      </c>
      <c r="N2" s="159" t="s">
        <v>71</v>
      </c>
      <c r="O2" s="158" t="s">
        <v>31</v>
      </c>
      <c r="P2" s="160" t="s">
        <v>32</v>
      </c>
    </row>
    <row r="3" spans="1:20" ht="15.75" thickTop="1" x14ac:dyDescent="0.25">
      <c r="A3" s="161" t="s">
        <v>77</v>
      </c>
      <c r="B3" s="250">
        <v>2</v>
      </c>
      <c r="C3" s="250"/>
      <c r="D3" s="250" t="s">
        <v>14</v>
      </c>
      <c r="E3" s="250" t="s">
        <v>43</v>
      </c>
      <c r="F3" s="293">
        <v>1546993.3459999999</v>
      </c>
      <c r="G3" s="293">
        <v>122291.8184</v>
      </c>
      <c r="H3" s="294">
        <v>136118</v>
      </c>
      <c r="I3" s="294">
        <v>4383.75</v>
      </c>
      <c r="J3" s="295">
        <f t="shared" ref="J3:J34" si="0">+F3-G3</f>
        <v>1424701.5275999999</v>
      </c>
      <c r="K3" s="296">
        <f t="shared" ref="K3:K34" si="1">+J3/H3</f>
        <v>10.46666515523296</v>
      </c>
      <c r="L3" s="297">
        <f t="shared" ref="L3:L34" si="2">+IF(E3="Weekdays",K3/$G$82,IF(E3="Saturdays",K3/$G$83,IF(E3="Sundays",K3/$G$84,"NA")))</f>
        <v>0.65573830944219802</v>
      </c>
      <c r="M3" s="298">
        <f t="shared" ref="M3:M34" si="3">G3/F3</f>
        <v>7.9051289209617584E-2</v>
      </c>
      <c r="N3" s="297">
        <f t="shared" ref="N3:N34" si="4">+IF(E3="Weekdays",M3/$G$88,IF(E3="Saturdays",M3/$G$89,IF(E3="Sundays",M3/$G$90,"NA")))</f>
        <v>1.5248092463881995</v>
      </c>
      <c r="O3" s="299">
        <f t="shared" ref="O3:O34" si="5">+H3/I3</f>
        <v>31.050584545195324</v>
      </c>
      <c r="P3" s="257"/>
    </row>
    <row r="4" spans="1:20" ht="15.75" x14ac:dyDescent="0.25">
      <c r="A4" s="170" t="s">
        <v>77</v>
      </c>
      <c r="B4" s="200">
        <v>2</v>
      </c>
      <c r="C4" s="200"/>
      <c r="D4" s="200" t="s">
        <v>14</v>
      </c>
      <c r="E4" s="200" t="s">
        <v>44</v>
      </c>
      <c r="F4" s="201">
        <v>1561176.6610000001</v>
      </c>
      <c r="G4" s="300">
        <v>105852.201</v>
      </c>
      <c r="H4" s="259">
        <v>127790</v>
      </c>
      <c r="I4" s="301">
        <v>4277.26</v>
      </c>
      <c r="J4" s="261">
        <f t="shared" si="0"/>
        <v>1455324.46</v>
      </c>
      <c r="K4" s="175">
        <f t="shared" si="1"/>
        <v>11.388406448078879</v>
      </c>
      <c r="L4" s="176">
        <f t="shared" si="2"/>
        <v>0.686131756731719</v>
      </c>
      <c r="M4" s="177">
        <f t="shared" si="3"/>
        <v>6.7802833365570025E-2</v>
      </c>
      <c r="N4" s="176">
        <f t="shared" si="4"/>
        <v>1.4351261105443927</v>
      </c>
      <c r="O4" s="302">
        <f t="shared" si="5"/>
        <v>29.876603246003281</v>
      </c>
      <c r="P4" s="263"/>
    </row>
    <row r="5" spans="1:20" x14ac:dyDescent="0.25">
      <c r="A5" s="170" t="s">
        <v>77</v>
      </c>
      <c r="B5" s="200">
        <v>2</v>
      </c>
      <c r="C5" s="200"/>
      <c r="D5" s="200" t="s">
        <v>14</v>
      </c>
      <c r="E5" s="200" t="s">
        <v>23</v>
      </c>
      <c r="F5" s="201">
        <v>11596282.189999999</v>
      </c>
      <c r="G5" s="201">
        <v>1270387.601</v>
      </c>
      <c r="H5" s="301">
        <v>1218653</v>
      </c>
      <c r="I5" s="301">
        <v>34731.760000000002</v>
      </c>
      <c r="J5" s="261">
        <f t="shared" si="0"/>
        <v>10325894.589</v>
      </c>
      <c r="K5" s="175">
        <f t="shared" si="1"/>
        <v>8.4732032736143914</v>
      </c>
      <c r="L5" s="176">
        <f t="shared" si="2"/>
        <v>0.63116303739026747</v>
      </c>
      <c r="M5" s="177">
        <f t="shared" si="3"/>
        <v>0.10955128378089254</v>
      </c>
      <c r="N5" s="176">
        <f t="shared" si="4"/>
        <v>1.5899317443829879</v>
      </c>
      <c r="O5" s="302">
        <f t="shared" si="5"/>
        <v>35.08756826604813</v>
      </c>
      <c r="P5" s="263"/>
    </row>
    <row r="6" spans="1:20" x14ac:dyDescent="0.25">
      <c r="A6" s="170" t="s">
        <v>77</v>
      </c>
      <c r="B6" s="200">
        <v>3</v>
      </c>
      <c r="C6" s="200"/>
      <c r="D6" s="200" t="s">
        <v>14</v>
      </c>
      <c r="E6" s="200" t="s">
        <v>43</v>
      </c>
      <c r="F6" s="201">
        <v>2084083.145</v>
      </c>
      <c r="G6" s="201">
        <v>136593.55600000001</v>
      </c>
      <c r="H6" s="301">
        <v>130436</v>
      </c>
      <c r="I6" s="301">
        <v>6479.19</v>
      </c>
      <c r="J6" s="261">
        <f t="shared" si="0"/>
        <v>1947489.5889999999</v>
      </c>
      <c r="K6" s="175">
        <f t="shared" si="1"/>
        <v>14.930614163267808</v>
      </c>
      <c r="L6" s="176">
        <f t="shared" si="2"/>
        <v>0.93540545581130319</v>
      </c>
      <c r="M6" s="177">
        <f t="shared" si="3"/>
        <v>6.5541317930480167E-2</v>
      </c>
      <c r="N6" s="176">
        <f t="shared" si="4"/>
        <v>1.2642173024637544</v>
      </c>
      <c r="O6" s="302">
        <f t="shared" si="5"/>
        <v>20.131528786777359</v>
      </c>
      <c r="P6" s="263"/>
    </row>
    <row r="7" spans="1:20" ht="15.75" x14ac:dyDescent="0.25">
      <c r="A7" s="170" t="s">
        <v>77</v>
      </c>
      <c r="B7" s="200">
        <v>3</v>
      </c>
      <c r="C7" s="200"/>
      <c r="D7" s="200" t="s">
        <v>14</v>
      </c>
      <c r="E7" s="200" t="s">
        <v>44</v>
      </c>
      <c r="F7" s="201">
        <v>1340709.9029999999</v>
      </c>
      <c r="G7" s="300">
        <v>96430.259000000005</v>
      </c>
      <c r="H7" s="259">
        <v>93788</v>
      </c>
      <c r="I7" s="301">
        <v>4081.12</v>
      </c>
      <c r="J7" s="261">
        <f t="shared" si="0"/>
        <v>1244279.6439999999</v>
      </c>
      <c r="K7" s="175">
        <f t="shared" si="1"/>
        <v>13.266938670192348</v>
      </c>
      <c r="L7" s="176">
        <f t="shared" si="2"/>
        <v>0.79931006833415419</v>
      </c>
      <c r="M7" s="177">
        <f t="shared" si="3"/>
        <v>7.1924775661181953E-2</v>
      </c>
      <c r="N7" s="176">
        <f t="shared" si="4"/>
        <v>1.5223718305380625</v>
      </c>
      <c r="O7" s="302">
        <f t="shared" si="5"/>
        <v>22.980946406868703</v>
      </c>
      <c r="P7" s="263"/>
      <c r="Q7" s="2"/>
      <c r="S7" s="2"/>
      <c r="T7" s="2"/>
    </row>
    <row r="8" spans="1:20" x14ac:dyDescent="0.25">
      <c r="A8" s="170" t="s">
        <v>77</v>
      </c>
      <c r="B8" s="200">
        <v>3</v>
      </c>
      <c r="C8" s="200"/>
      <c r="D8" s="200" t="s">
        <v>14</v>
      </c>
      <c r="E8" s="200" t="s">
        <v>23</v>
      </c>
      <c r="F8" s="201">
        <v>14811411.859999999</v>
      </c>
      <c r="G8" s="201">
        <v>1691872.3130000001</v>
      </c>
      <c r="H8" s="301">
        <v>1384988</v>
      </c>
      <c r="I8" s="301">
        <v>44499.090000000098</v>
      </c>
      <c r="J8" s="261">
        <f t="shared" si="0"/>
        <v>13119539.546999998</v>
      </c>
      <c r="K8" s="175">
        <f t="shared" si="1"/>
        <v>9.4726738043939722</v>
      </c>
      <c r="L8" s="176">
        <f t="shared" si="2"/>
        <v>0.70561290429636514</v>
      </c>
      <c r="M8" s="177">
        <f t="shared" si="3"/>
        <v>0.1142276191487933</v>
      </c>
      <c r="N8" s="176">
        <f t="shared" si="4"/>
        <v>1.657799995600169</v>
      </c>
      <c r="O8" s="302">
        <f t="shared" si="5"/>
        <v>31.123962310240433</v>
      </c>
      <c r="P8" s="263"/>
      <c r="Q8" s="5"/>
      <c r="S8" s="5"/>
      <c r="T8" s="7"/>
    </row>
    <row r="9" spans="1:20" x14ac:dyDescent="0.25">
      <c r="A9" s="170" t="s">
        <v>77</v>
      </c>
      <c r="B9" s="200">
        <v>4</v>
      </c>
      <c r="C9" s="200"/>
      <c r="D9" s="200" t="s">
        <v>14</v>
      </c>
      <c r="E9" s="200" t="s">
        <v>43</v>
      </c>
      <c r="F9" s="201">
        <v>2070947.706</v>
      </c>
      <c r="G9" s="201">
        <v>112539.0141</v>
      </c>
      <c r="H9" s="301">
        <v>128878</v>
      </c>
      <c r="I9" s="301">
        <v>6351.24</v>
      </c>
      <c r="J9" s="261">
        <f t="shared" si="0"/>
        <v>1958408.6919</v>
      </c>
      <c r="K9" s="175">
        <f t="shared" si="1"/>
        <v>15.195833981750182</v>
      </c>
      <c r="L9" s="176">
        <f t="shared" si="2"/>
        <v>0.95202152146572483</v>
      </c>
      <c r="M9" s="177">
        <f t="shared" si="3"/>
        <v>5.4341794229738026E-2</v>
      </c>
      <c r="N9" s="176">
        <f t="shared" si="4"/>
        <v>1.0481912582995341</v>
      </c>
      <c r="O9" s="302">
        <f t="shared" si="5"/>
        <v>20.29178554109119</v>
      </c>
      <c r="P9" s="263"/>
      <c r="Q9" s="6"/>
      <c r="S9" s="5"/>
      <c r="T9" s="7"/>
    </row>
    <row r="10" spans="1:20" ht="15.75" x14ac:dyDescent="0.25">
      <c r="A10" s="170" t="s">
        <v>77</v>
      </c>
      <c r="B10" s="200">
        <v>4</v>
      </c>
      <c r="C10" s="200"/>
      <c r="D10" s="200" t="s">
        <v>14</v>
      </c>
      <c r="E10" s="200" t="s">
        <v>44</v>
      </c>
      <c r="F10" s="201">
        <v>2039079.4069999999</v>
      </c>
      <c r="G10" s="300">
        <v>92879.002999999997</v>
      </c>
      <c r="H10" s="259">
        <v>108474</v>
      </c>
      <c r="I10" s="301">
        <v>5983.03</v>
      </c>
      <c r="J10" s="261">
        <f t="shared" si="0"/>
        <v>1946200.4039999999</v>
      </c>
      <c r="K10" s="175">
        <f t="shared" si="1"/>
        <v>17.941630289285911</v>
      </c>
      <c r="L10" s="176">
        <f t="shared" si="2"/>
        <v>1.080952138926812</v>
      </c>
      <c r="M10" s="177">
        <f t="shared" si="3"/>
        <v>4.5549478201365602E-2</v>
      </c>
      <c r="N10" s="176">
        <f t="shared" si="4"/>
        <v>0.96410787342769988</v>
      </c>
      <c r="O10" s="302">
        <f t="shared" si="5"/>
        <v>18.130278470941981</v>
      </c>
      <c r="P10" s="263"/>
      <c r="Q10" s="6"/>
      <c r="S10" s="5"/>
    </row>
    <row r="11" spans="1:20" x14ac:dyDescent="0.25">
      <c r="A11" s="170" t="s">
        <v>77</v>
      </c>
      <c r="B11" s="200">
        <v>4</v>
      </c>
      <c r="C11" s="200"/>
      <c r="D11" s="200" t="s">
        <v>14</v>
      </c>
      <c r="E11" s="200" t="s">
        <v>23</v>
      </c>
      <c r="F11" s="201">
        <v>11830399.970000001</v>
      </c>
      <c r="G11" s="201">
        <v>878297.04040000006</v>
      </c>
      <c r="H11" s="301">
        <v>896233</v>
      </c>
      <c r="I11" s="301">
        <v>34196.300000000097</v>
      </c>
      <c r="J11" s="261">
        <f t="shared" si="0"/>
        <v>10952102.9296</v>
      </c>
      <c r="K11" s="175">
        <f t="shared" si="1"/>
        <v>12.220151377599352</v>
      </c>
      <c r="L11" s="176">
        <f t="shared" si="2"/>
        <v>0.91027060390165693</v>
      </c>
      <c r="M11" s="177">
        <f t="shared" si="3"/>
        <v>7.4240688618070455E-2</v>
      </c>
      <c r="N11" s="176">
        <f t="shared" si="4"/>
        <v>1.0774645762691701</v>
      </c>
      <c r="O11" s="302">
        <f t="shared" si="5"/>
        <v>26.208478695063427</v>
      </c>
      <c r="P11" s="263"/>
      <c r="Q11" s="5"/>
      <c r="S11" s="5"/>
    </row>
    <row r="12" spans="1:20" x14ac:dyDescent="0.25">
      <c r="A12" s="170" t="s">
        <v>77</v>
      </c>
      <c r="B12" s="200">
        <v>7</v>
      </c>
      <c r="C12" s="200"/>
      <c r="D12" s="200" t="s">
        <v>14</v>
      </c>
      <c r="E12" s="200" t="s">
        <v>43</v>
      </c>
      <c r="F12" s="201">
        <v>914439.4817</v>
      </c>
      <c r="G12" s="201">
        <v>36384.679219999998</v>
      </c>
      <c r="H12" s="301">
        <v>38910</v>
      </c>
      <c r="I12" s="301">
        <v>2644.6</v>
      </c>
      <c r="J12" s="261">
        <f t="shared" si="0"/>
        <v>878054.80247999995</v>
      </c>
      <c r="K12" s="175">
        <f t="shared" si="1"/>
        <v>22.566301785659213</v>
      </c>
      <c r="L12" s="176">
        <f t="shared" si="2"/>
        <v>1.413782552878589</v>
      </c>
      <c r="M12" s="177">
        <f t="shared" si="3"/>
        <v>3.9789051050550236E-2</v>
      </c>
      <c r="N12" s="176">
        <f t="shared" si="4"/>
        <v>0.76748543323579022</v>
      </c>
      <c r="O12" s="302">
        <f t="shared" si="5"/>
        <v>14.713000075625803</v>
      </c>
      <c r="P12" s="263"/>
    </row>
    <row r="13" spans="1:20" ht="15.75" x14ac:dyDescent="0.25">
      <c r="A13" s="170" t="s">
        <v>77</v>
      </c>
      <c r="B13" s="200">
        <v>7</v>
      </c>
      <c r="C13" s="200"/>
      <c r="D13" s="200" t="s">
        <v>14</v>
      </c>
      <c r="E13" s="200" t="s">
        <v>44</v>
      </c>
      <c r="F13" s="201">
        <v>973442.73809999996</v>
      </c>
      <c r="G13" s="300">
        <v>33585.074630000003</v>
      </c>
      <c r="H13" s="259">
        <v>36948</v>
      </c>
      <c r="I13" s="301">
        <v>2909.62</v>
      </c>
      <c r="J13" s="261">
        <f t="shared" si="0"/>
        <v>939857.66346999991</v>
      </c>
      <c r="K13" s="175">
        <f t="shared" si="1"/>
        <v>25.437308202609071</v>
      </c>
      <c r="L13" s="176">
        <f t="shared" si="2"/>
        <v>1.5325537460534304</v>
      </c>
      <c r="M13" s="177">
        <f t="shared" si="3"/>
        <v>3.4501335636395562E-2</v>
      </c>
      <c r="N13" s="176">
        <f t="shared" si="4"/>
        <v>0.73026104017638116</v>
      </c>
      <c r="O13" s="302">
        <f t="shared" si="5"/>
        <v>12.69856544840907</v>
      </c>
      <c r="P13" s="263"/>
    </row>
    <row r="14" spans="1:20" x14ac:dyDescent="0.25">
      <c r="A14" s="170" t="s">
        <v>77</v>
      </c>
      <c r="B14" s="200">
        <v>7</v>
      </c>
      <c r="C14" s="200"/>
      <c r="D14" s="200" t="s">
        <v>14</v>
      </c>
      <c r="E14" s="200" t="s">
        <v>23</v>
      </c>
      <c r="F14" s="201">
        <v>5982537.3130000001</v>
      </c>
      <c r="G14" s="201">
        <v>323323.78840000002</v>
      </c>
      <c r="H14" s="301">
        <v>303540</v>
      </c>
      <c r="I14" s="301">
        <v>18776.690000000101</v>
      </c>
      <c r="J14" s="261">
        <f t="shared" si="0"/>
        <v>5659213.5246000001</v>
      </c>
      <c r="K14" s="175">
        <f t="shared" si="1"/>
        <v>18.644045346906502</v>
      </c>
      <c r="L14" s="176">
        <f t="shared" si="2"/>
        <v>1.3887820119976644</v>
      </c>
      <c r="M14" s="177">
        <f t="shared" si="3"/>
        <v>5.4044592032450899E-2</v>
      </c>
      <c r="N14" s="176">
        <f t="shared" si="4"/>
        <v>0.7843560524263673</v>
      </c>
      <c r="O14" s="302">
        <f t="shared" si="5"/>
        <v>16.165788538874445</v>
      </c>
      <c r="P14" s="263"/>
    </row>
    <row r="15" spans="1:20" x14ac:dyDescent="0.25">
      <c r="A15" s="170" t="s">
        <v>77</v>
      </c>
      <c r="B15" s="200">
        <v>9</v>
      </c>
      <c r="C15" s="200"/>
      <c r="D15" s="200" t="s">
        <v>14</v>
      </c>
      <c r="E15" s="200" t="s">
        <v>43</v>
      </c>
      <c r="F15" s="201">
        <v>1310507.702</v>
      </c>
      <c r="G15" s="201">
        <v>50727.138339999998</v>
      </c>
      <c r="H15" s="301">
        <v>61568</v>
      </c>
      <c r="I15" s="301">
        <v>3707.47</v>
      </c>
      <c r="J15" s="261">
        <f t="shared" si="0"/>
        <v>1259780.56366</v>
      </c>
      <c r="K15" s="175">
        <f t="shared" si="1"/>
        <v>20.46161258543399</v>
      </c>
      <c r="L15" s="176">
        <f t="shared" si="2"/>
        <v>1.2819234251059837</v>
      </c>
      <c r="M15" s="177">
        <f t="shared" si="3"/>
        <v>3.8708004739372373E-2</v>
      </c>
      <c r="N15" s="176">
        <f t="shared" si="4"/>
        <v>0.74663328234060511</v>
      </c>
      <c r="O15" s="302">
        <f t="shared" si="5"/>
        <v>16.606472877730635</v>
      </c>
      <c r="P15" s="263"/>
    </row>
    <row r="16" spans="1:20" ht="15.75" x14ac:dyDescent="0.25">
      <c r="A16" s="170" t="s">
        <v>77</v>
      </c>
      <c r="B16" s="200">
        <v>9</v>
      </c>
      <c r="C16" s="200"/>
      <c r="D16" s="200" t="s">
        <v>14</v>
      </c>
      <c r="E16" s="200" t="s">
        <v>44</v>
      </c>
      <c r="F16" s="201">
        <v>839696.61300000001</v>
      </c>
      <c r="G16" s="300">
        <v>31772.966939999998</v>
      </c>
      <c r="H16" s="259">
        <v>38935</v>
      </c>
      <c r="I16" s="301">
        <v>2256.69</v>
      </c>
      <c r="J16" s="261">
        <f t="shared" si="0"/>
        <v>807923.64606000006</v>
      </c>
      <c r="K16" s="175">
        <f t="shared" si="1"/>
        <v>20.750575216643124</v>
      </c>
      <c r="L16" s="176">
        <f t="shared" si="2"/>
        <v>1.250186203969808</v>
      </c>
      <c r="M16" s="177">
        <f t="shared" si="3"/>
        <v>3.7838627008967105E-2</v>
      </c>
      <c r="N16" s="176">
        <f t="shared" si="4"/>
        <v>0.80089870750584136</v>
      </c>
      <c r="O16" s="302">
        <f t="shared" si="5"/>
        <v>17.253145093034487</v>
      </c>
      <c r="P16" s="263"/>
    </row>
    <row r="17" spans="1:16" x14ac:dyDescent="0.25">
      <c r="A17" s="170" t="s">
        <v>77</v>
      </c>
      <c r="B17" s="200">
        <v>9</v>
      </c>
      <c r="C17" s="200"/>
      <c r="D17" s="200" t="s">
        <v>14</v>
      </c>
      <c r="E17" s="200" t="s">
        <v>23</v>
      </c>
      <c r="F17" s="201">
        <v>6689664.5719999997</v>
      </c>
      <c r="G17" s="201">
        <v>360283.65909999999</v>
      </c>
      <c r="H17" s="301">
        <v>399679</v>
      </c>
      <c r="I17" s="301">
        <v>19781.53</v>
      </c>
      <c r="J17" s="261">
        <f t="shared" si="0"/>
        <v>6329380.9128999999</v>
      </c>
      <c r="K17" s="175">
        <f t="shared" si="1"/>
        <v>15.836160801293037</v>
      </c>
      <c r="L17" s="176">
        <f t="shared" si="2"/>
        <v>1.1796246388977731</v>
      </c>
      <c r="M17" s="177">
        <f t="shared" si="3"/>
        <v>5.3856759964915027E-2</v>
      </c>
      <c r="N17" s="176">
        <f t="shared" si="4"/>
        <v>0.78163002169006235</v>
      </c>
      <c r="O17" s="302">
        <f t="shared" si="5"/>
        <v>20.204655554954549</v>
      </c>
      <c r="P17" s="263"/>
    </row>
    <row r="18" spans="1:16" x14ac:dyDescent="0.25">
      <c r="A18" s="170" t="s">
        <v>77</v>
      </c>
      <c r="B18" s="200">
        <v>10</v>
      </c>
      <c r="C18" s="200"/>
      <c r="D18" s="200" t="s">
        <v>14</v>
      </c>
      <c r="E18" s="200" t="s">
        <v>43</v>
      </c>
      <c r="F18" s="201">
        <v>2208691.9890000001</v>
      </c>
      <c r="G18" s="201">
        <v>134537.11919999999</v>
      </c>
      <c r="H18" s="301">
        <v>175820</v>
      </c>
      <c r="I18" s="301">
        <v>6606.2399999999898</v>
      </c>
      <c r="J18" s="261">
        <f t="shared" si="0"/>
        <v>2074154.8698</v>
      </c>
      <c r="K18" s="175">
        <f t="shared" si="1"/>
        <v>11.797036001592538</v>
      </c>
      <c r="L18" s="176">
        <f t="shared" si="2"/>
        <v>0.73908626380824172</v>
      </c>
      <c r="M18" s="177">
        <f t="shared" si="3"/>
        <v>6.0912576253293042E-2</v>
      </c>
      <c r="N18" s="176">
        <f t="shared" si="4"/>
        <v>1.1749341525102852</v>
      </c>
      <c r="O18" s="302">
        <f t="shared" si="5"/>
        <v>26.61423139334936</v>
      </c>
      <c r="P18" s="263"/>
    </row>
    <row r="19" spans="1:16" x14ac:dyDescent="0.25">
      <c r="A19" s="170" t="s">
        <v>77</v>
      </c>
      <c r="B19" s="200">
        <v>10</v>
      </c>
      <c r="C19" s="200"/>
      <c r="D19" s="200" t="s">
        <v>14</v>
      </c>
      <c r="E19" s="200" t="s">
        <v>44</v>
      </c>
      <c r="F19" s="201">
        <v>2023356.504</v>
      </c>
      <c r="G19" s="201">
        <v>118521.68429999999</v>
      </c>
      <c r="H19" s="301">
        <v>162756</v>
      </c>
      <c r="I19" s="301">
        <v>5777.75</v>
      </c>
      <c r="J19" s="261">
        <f t="shared" si="0"/>
        <v>1904834.8196999999</v>
      </c>
      <c r="K19" s="175">
        <f t="shared" si="1"/>
        <v>11.703622721742976</v>
      </c>
      <c r="L19" s="176">
        <f t="shared" si="2"/>
        <v>0.70512299107039655</v>
      </c>
      <c r="M19" s="177">
        <f t="shared" si="3"/>
        <v>5.8576767893197726E-2</v>
      </c>
      <c r="N19" s="176">
        <f t="shared" si="4"/>
        <v>1.2398456657640853</v>
      </c>
      <c r="O19" s="302">
        <f t="shared" si="5"/>
        <v>28.169443122322704</v>
      </c>
      <c r="P19" s="263"/>
    </row>
    <row r="20" spans="1:16" x14ac:dyDescent="0.25">
      <c r="A20" s="170" t="s">
        <v>77</v>
      </c>
      <c r="B20" s="200">
        <v>10</v>
      </c>
      <c r="C20" s="200"/>
      <c r="D20" s="200" t="s">
        <v>14</v>
      </c>
      <c r="E20" s="200" t="s">
        <v>23</v>
      </c>
      <c r="F20" s="201">
        <v>13938281.109999999</v>
      </c>
      <c r="G20" s="201">
        <v>1034689.7389999999</v>
      </c>
      <c r="H20" s="301">
        <v>1263671</v>
      </c>
      <c r="I20" s="301">
        <v>41741.730000000003</v>
      </c>
      <c r="J20" s="261">
        <f t="shared" si="0"/>
        <v>12903591.370999999</v>
      </c>
      <c r="K20" s="175">
        <f t="shared" si="1"/>
        <v>10.211195296085769</v>
      </c>
      <c r="L20" s="176">
        <f t="shared" si="2"/>
        <v>0.76062485819645742</v>
      </c>
      <c r="M20" s="177">
        <f t="shared" si="3"/>
        <v>7.423366847276909E-2</v>
      </c>
      <c r="N20" s="176">
        <f t="shared" si="4"/>
        <v>1.077362692005658</v>
      </c>
      <c r="O20" s="302">
        <f t="shared" si="5"/>
        <v>30.273565566161245</v>
      </c>
      <c r="P20" s="263"/>
    </row>
    <row r="21" spans="1:16" x14ac:dyDescent="0.25">
      <c r="A21" s="170" t="s">
        <v>77</v>
      </c>
      <c r="B21" s="200">
        <v>11</v>
      </c>
      <c r="C21" s="200"/>
      <c r="D21" s="200" t="s">
        <v>14</v>
      </c>
      <c r="E21" s="200" t="s">
        <v>43</v>
      </c>
      <c r="F21" s="201">
        <v>1852323.6810000001</v>
      </c>
      <c r="G21" s="201">
        <v>100784.0683</v>
      </c>
      <c r="H21" s="301">
        <v>115159</v>
      </c>
      <c r="I21" s="301">
        <v>5539.16</v>
      </c>
      <c r="J21" s="261">
        <f t="shared" si="0"/>
        <v>1751539.6127000002</v>
      </c>
      <c r="K21" s="175">
        <f t="shared" si="1"/>
        <v>15.209750108111395</v>
      </c>
      <c r="L21" s="176">
        <f t="shared" si="2"/>
        <v>0.95289336909233235</v>
      </c>
      <c r="M21" s="177">
        <f t="shared" si="3"/>
        <v>5.4409533999797734E-2</v>
      </c>
      <c r="N21" s="176">
        <f t="shared" si="4"/>
        <v>1.0494978812372242</v>
      </c>
      <c r="O21" s="302">
        <f t="shared" si="5"/>
        <v>20.789975375327668</v>
      </c>
      <c r="P21" s="263"/>
    </row>
    <row r="22" spans="1:16" x14ac:dyDescent="0.25">
      <c r="A22" s="170" t="s">
        <v>77</v>
      </c>
      <c r="B22" s="200">
        <v>11</v>
      </c>
      <c r="C22" s="200"/>
      <c r="D22" s="200" t="s">
        <v>14</v>
      </c>
      <c r="E22" s="200" t="s">
        <v>44</v>
      </c>
      <c r="F22" s="201">
        <v>1713712.932</v>
      </c>
      <c r="G22" s="201">
        <v>79897.321379999994</v>
      </c>
      <c r="H22" s="301">
        <v>96313</v>
      </c>
      <c r="I22" s="301">
        <v>5109.8999999999996</v>
      </c>
      <c r="J22" s="261">
        <f t="shared" si="0"/>
        <v>1633815.6106199999</v>
      </c>
      <c r="K22" s="175">
        <f t="shared" si="1"/>
        <v>16.963604192788097</v>
      </c>
      <c r="L22" s="176">
        <f t="shared" si="2"/>
        <v>1.0220277611590416</v>
      </c>
      <c r="M22" s="177">
        <f t="shared" si="3"/>
        <v>4.6622348403915756E-2</v>
      </c>
      <c r="N22" s="176">
        <f t="shared" si="4"/>
        <v>0.98681642356458299</v>
      </c>
      <c r="O22" s="302">
        <f t="shared" si="5"/>
        <v>18.848314057026556</v>
      </c>
      <c r="P22" s="263"/>
    </row>
    <row r="23" spans="1:16" x14ac:dyDescent="0.25">
      <c r="A23" s="170" t="s">
        <v>77</v>
      </c>
      <c r="B23" s="200">
        <v>11</v>
      </c>
      <c r="C23" s="200"/>
      <c r="D23" s="200" t="s">
        <v>14</v>
      </c>
      <c r="E23" s="200" t="s">
        <v>23</v>
      </c>
      <c r="F23" s="201">
        <v>11043001.65</v>
      </c>
      <c r="G23" s="201">
        <v>774691.31</v>
      </c>
      <c r="H23" s="301">
        <v>830775</v>
      </c>
      <c r="I23" s="301">
        <v>33530.1</v>
      </c>
      <c r="J23" s="261">
        <f t="shared" si="0"/>
        <v>10268310.34</v>
      </c>
      <c r="K23" s="175">
        <f t="shared" si="1"/>
        <v>12.359917354277632</v>
      </c>
      <c r="L23" s="176">
        <f t="shared" si="2"/>
        <v>0.92068167460484462</v>
      </c>
      <c r="M23" s="177">
        <f t="shared" si="3"/>
        <v>7.0152240717993558E-2</v>
      </c>
      <c r="N23" s="176">
        <f t="shared" si="4"/>
        <v>1.0181284108017785</v>
      </c>
      <c r="O23" s="302">
        <f t="shared" si="5"/>
        <v>24.776991419649807</v>
      </c>
      <c r="P23" s="263"/>
    </row>
    <row r="24" spans="1:16" x14ac:dyDescent="0.25">
      <c r="A24" s="170" t="s">
        <v>77</v>
      </c>
      <c r="B24" s="200">
        <v>14</v>
      </c>
      <c r="C24" s="200"/>
      <c r="D24" s="200" t="s">
        <v>14</v>
      </c>
      <c r="E24" s="200" t="s">
        <v>43</v>
      </c>
      <c r="F24" s="201">
        <v>1533452.1240000001</v>
      </c>
      <c r="G24" s="201">
        <v>82427.14589</v>
      </c>
      <c r="H24" s="301">
        <v>107772</v>
      </c>
      <c r="I24" s="301">
        <v>4609.8</v>
      </c>
      <c r="J24" s="261">
        <f t="shared" si="0"/>
        <v>1451024.97811</v>
      </c>
      <c r="K24" s="175">
        <f t="shared" si="1"/>
        <v>13.463840126470698</v>
      </c>
      <c r="L24" s="176">
        <f t="shared" si="2"/>
        <v>0.8435118189214128</v>
      </c>
      <c r="M24" s="177">
        <f t="shared" si="3"/>
        <v>5.3752669939893083E-2</v>
      </c>
      <c r="N24" s="176">
        <f t="shared" si="4"/>
        <v>1.0368277223798927</v>
      </c>
      <c r="O24" s="302">
        <f t="shared" si="5"/>
        <v>23.378888455030587</v>
      </c>
      <c r="P24" s="263"/>
    </row>
    <row r="25" spans="1:16" x14ac:dyDescent="0.25">
      <c r="A25" s="170" t="s">
        <v>77</v>
      </c>
      <c r="B25" s="200">
        <v>14</v>
      </c>
      <c r="C25" s="200"/>
      <c r="D25" s="200" t="s">
        <v>14</v>
      </c>
      <c r="E25" s="200" t="s">
        <v>44</v>
      </c>
      <c r="F25" s="201">
        <v>1724790.8119999999</v>
      </c>
      <c r="G25" s="201">
        <v>74713.811069999996</v>
      </c>
      <c r="H25" s="301">
        <v>99938</v>
      </c>
      <c r="I25" s="301">
        <v>5141.7</v>
      </c>
      <c r="J25" s="261">
        <f t="shared" si="0"/>
        <v>1650077.0009299999</v>
      </c>
      <c r="K25" s="175">
        <f t="shared" si="1"/>
        <v>16.51100683353679</v>
      </c>
      <c r="L25" s="176">
        <f t="shared" si="2"/>
        <v>0.99475955444276121</v>
      </c>
      <c r="M25" s="177">
        <f t="shared" si="3"/>
        <v>4.3317607300658555E-2</v>
      </c>
      <c r="N25" s="176">
        <f t="shared" si="4"/>
        <v>0.91686772067922506</v>
      </c>
      <c r="O25" s="302">
        <f t="shared" si="5"/>
        <v>19.436762160374975</v>
      </c>
      <c r="P25" s="263"/>
    </row>
    <row r="26" spans="1:16" x14ac:dyDescent="0.25">
      <c r="A26" s="170" t="s">
        <v>77</v>
      </c>
      <c r="B26" s="200">
        <v>14</v>
      </c>
      <c r="C26" s="200"/>
      <c r="D26" s="200" t="s">
        <v>14</v>
      </c>
      <c r="E26" s="200" t="s">
        <v>23</v>
      </c>
      <c r="F26" s="201">
        <v>10521565.529999999</v>
      </c>
      <c r="G26" s="201">
        <v>724510.51879999996</v>
      </c>
      <c r="H26" s="301">
        <v>850615</v>
      </c>
      <c r="I26" s="301">
        <v>32844.780000000101</v>
      </c>
      <c r="J26" s="261">
        <f t="shared" si="0"/>
        <v>9797055.0111999996</v>
      </c>
      <c r="K26" s="175">
        <f t="shared" si="1"/>
        <v>11.517613739705977</v>
      </c>
      <c r="L26" s="176">
        <f t="shared" si="2"/>
        <v>0.85793906232344808</v>
      </c>
      <c r="M26" s="177">
        <f t="shared" si="3"/>
        <v>6.8859573866095578E-2</v>
      </c>
      <c r="N26" s="176">
        <f t="shared" si="4"/>
        <v>0.99936777202318761</v>
      </c>
      <c r="O26" s="302">
        <f t="shared" si="5"/>
        <v>25.898027022863218</v>
      </c>
      <c r="P26" s="263"/>
    </row>
    <row r="27" spans="1:16" x14ac:dyDescent="0.25">
      <c r="A27" s="170" t="s">
        <v>77</v>
      </c>
      <c r="B27" s="200">
        <v>17</v>
      </c>
      <c r="C27" s="200"/>
      <c r="D27" s="200" t="s">
        <v>14</v>
      </c>
      <c r="E27" s="200" t="s">
        <v>43</v>
      </c>
      <c r="F27" s="201">
        <v>2016066.7290000001</v>
      </c>
      <c r="G27" s="201">
        <v>107939.1789</v>
      </c>
      <c r="H27" s="301">
        <v>134980</v>
      </c>
      <c r="I27" s="301">
        <v>6019.3</v>
      </c>
      <c r="J27" s="261">
        <f t="shared" si="0"/>
        <v>1908127.5501000001</v>
      </c>
      <c r="K27" s="175">
        <f t="shared" si="1"/>
        <v>14.136372426285376</v>
      </c>
      <c r="L27" s="176">
        <f t="shared" si="2"/>
        <v>0.88564607914519233</v>
      </c>
      <c r="M27" s="177">
        <f t="shared" si="3"/>
        <v>5.3539487233906925E-2</v>
      </c>
      <c r="N27" s="176">
        <f t="shared" si="4"/>
        <v>1.0327156710204799</v>
      </c>
      <c r="O27" s="302">
        <f t="shared" si="5"/>
        <v>22.424534414300666</v>
      </c>
      <c r="P27" s="263"/>
    </row>
    <row r="28" spans="1:16" x14ac:dyDescent="0.25">
      <c r="A28" s="170" t="s">
        <v>77</v>
      </c>
      <c r="B28" s="200">
        <v>17</v>
      </c>
      <c r="C28" s="200"/>
      <c r="D28" s="200" t="s">
        <v>14</v>
      </c>
      <c r="E28" s="200" t="s">
        <v>44</v>
      </c>
      <c r="F28" s="201">
        <v>1714915.96</v>
      </c>
      <c r="G28" s="201">
        <v>82656.204440000001</v>
      </c>
      <c r="H28" s="301">
        <v>107769</v>
      </c>
      <c r="I28" s="301">
        <v>5108.1400000000003</v>
      </c>
      <c r="J28" s="261">
        <f t="shared" si="0"/>
        <v>1632259.75556</v>
      </c>
      <c r="K28" s="175">
        <f t="shared" si="1"/>
        <v>15.145911677384033</v>
      </c>
      <c r="L28" s="176">
        <f t="shared" si="2"/>
        <v>0.91251493647383963</v>
      </c>
      <c r="M28" s="177">
        <f t="shared" si="3"/>
        <v>4.8198399436436529E-2</v>
      </c>
      <c r="N28" s="176">
        <f t="shared" si="4"/>
        <v>1.0201753833019436</v>
      </c>
      <c r="O28" s="302">
        <f t="shared" si="5"/>
        <v>21.097503200773666</v>
      </c>
      <c r="P28" s="263"/>
    </row>
    <row r="29" spans="1:16" x14ac:dyDescent="0.25">
      <c r="A29" s="170" t="s">
        <v>77</v>
      </c>
      <c r="B29" s="200">
        <v>17</v>
      </c>
      <c r="C29" s="200"/>
      <c r="D29" s="200" t="s">
        <v>14</v>
      </c>
      <c r="E29" s="200" t="s">
        <v>23</v>
      </c>
      <c r="F29" s="201">
        <v>13120091</v>
      </c>
      <c r="G29" s="201">
        <v>833435.49789999996</v>
      </c>
      <c r="H29" s="301">
        <v>937448</v>
      </c>
      <c r="I29" s="301">
        <v>39610.519999999902</v>
      </c>
      <c r="J29" s="261">
        <f t="shared" si="0"/>
        <v>12286655.5021</v>
      </c>
      <c r="K29" s="175">
        <f t="shared" si="1"/>
        <v>13.106492842376325</v>
      </c>
      <c r="L29" s="176">
        <f t="shared" si="2"/>
        <v>0.97629356511346077</v>
      </c>
      <c r="M29" s="177">
        <f t="shared" si="3"/>
        <v>6.352360649785127E-2</v>
      </c>
      <c r="N29" s="176">
        <f t="shared" si="4"/>
        <v>0.92192619751155158</v>
      </c>
      <c r="O29" s="302">
        <f t="shared" si="5"/>
        <v>23.666642094070017</v>
      </c>
      <c r="P29" s="263"/>
    </row>
    <row r="30" spans="1:16" x14ac:dyDescent="0.25">
      <c r="A30" s="170" t="s">
        <v>77</v>
      </c>
      <c r="B30" s="200">
        <v>18</v>
      </c>
      <c r="C30" s="200"/>
      <c r="D30" s="200" t="s">
        <v>14</v>
      </c>
      <c r="E30" s="200" t="s">
        <v>43</v>
      </c>
      <c r="F30" s="201">
        <v>2651959.9500000002</v>
      </c>
      <c r="G30" s="201">
        <v>173102.09650000001</v>
      </c>
      <c r="H30" s="301">
        <v>226815</v>
      </c>
      <c r="I30" s="301">
        <v>7632.49999999999</v>
      </c>
      <c r="J30" s="261">
        <f t="shared" si="0"/>
        <v>2478857.8535000002</v>
      </c>
      <c r="K30" s="175">
        <f t="shared" si="1"/>
        <v>10.928985532261976</v>
      </c>
      <c r="L30" s="176">
        <f t="shared" si="2"/>
        <v>0.68470275780826784</v>
      </c>
      <c r="M30" s="177">
        <f t="shared" si="3"/>
        <v>6.527326949262563E-2</v>
      </c>
      <c r="N30" s="176">
        <f t="shared" si="4"/>
        <v>1.259046953686308</v>
      </c>
      <c r="O30" s="302">
        <f t="shared" si="5"/>
        <v>29.716999672453362</v>
      </c>
      <c r="P30" s="263"/>
    </row>
    <row r="31" spans="1:16" x14ac:dyDescent="0.25">
      <c r="A31" s="170" t="s">
        <v>77</v>
      </c>
      <c r="B31" s="200">
        <v>18</v>
      </c>
      <c r="C31" s="200"/>
      <c r="D31" s="200" t="s">
        <v>14</v>
      </c>
      <c r="E31" s="200" t="s">
        <v>44</v>
      </c>
      <c r="F31" s="201">
        <v>2823997.682</v>
      </c>
      <c r="G31" s="201">
        <v>170853.92920000001</v>
      </c>
      <c r="H31" s="301">
        <v>231066</v>
      </c>
      <c r="I31" s="301">
        <v>8141.1300000000101</v>
      </c>
      <c r="J31" s="261">
        <f t="shared" si="0"/>
        <v>2653143.7527999999</v>
      </c>
      <c r="K31" s="175">
        <f t="shared" si="1"/>
        <v>11.482190165580397</v>
      </c>
      <c r="L31" s="176">
        <f t="shared" si="2"/>
        <v>0.69178206321977043</v>
      </c>
      <c r="M31" s="177">
        <f t="shared" si="3"/>
        <v>6.0500732804779973E-2</v>
      </c>
      <c r="N31" s="176">
        <f t="shared" si="4"/>
        <v>1.2805686288517166</v>
      </c>
      <c r="O31" s="302">
        <f t="shared" si="5"/>
        <v>28.382546403263394</v>
      </c>
      <c r="P31" s="263"/>
    </row>
    <row r="32" spans="1:16" x14ac:dyDescent="0.25">
      <c r="A32" s="170" t="s">
        <v>77</v>
      </c>
      <c r="B32" s="200">
        <v>18</v>
      </c>
      <c r="C32" s="200"/>
      <c r="D32" s="200" t="s">
        <v>14</v>
      </c>
      <c r="E32" s="200" t="s">
        <v>23</v>
      </c>
      <c r="F32" s="201">
        <v>15226666.470000001</v>
      </c>
      <c r="G32" s="201">
        <v>1285532.6129999999</v>
      </c>
      <c r="H32" s="301">
        <v>1555543</v>
      </c>
      <c r="I32" s="301">
        <v>45044.209999999897</v>
      </c>
      <c r="J32" s="261">
        <f t="shared" si="0"/>
        <v>13941133.857000001</v>
      </c>
      <c r="K32" s="175">
        <f t="shared" si="1"/>
        <v>8.9622298174978123</v>
      </c>
      <c r="L32" s="176">
        <f t="shared" si="2"/>
        <v>0.6675902856026501</v>
      </c>
      <c r="M32" s="177">
        <f t="shared" si="3"/>
        <v>8.4426398616715734E-2</v>
      </c>
      <c r="N32" s="176">
        <f t="shared" si="4"/>
        <v>1.2252910837002946</v>
      </c>
      <c r="O32" s="302">
        <f t="shared" si="5"/>
        <v>34.533694785634012</v>
      </c>
      <c r="P32" s="263"/>
    </row>
    <row r="33" spans="1:16" x14ac:dyDescent="0.25">
      <c r="A33" s="170" t="s">
        <v>77</v>
      </c>
      <c r="B33" s="200">
        <v>22</v>
      </c>
      <c r="C33" s="200"/>
      <c r="D33" s="200" t="s">
        <v>14</v>
      </c>
      <c r="E33" s="200" t="s">
        <v>43</v>
      </c>
      <c r="F33" s="201">
        <v>1420825.818</v>
      </c>
      <c r="G33" s="201">
        <v>64168.633800000003</v>
      </c>
      <c r="H33" s="301">
        <v>85805</v>
      </c>
      <c r="I33" s="301">
        <v>4716.03</v>
      </c>
      <c r="J33" s="261">
        <f t="shared" si="0"/>
        <v>1356657.1842</v>
      </c>
      <c r="K33" s="175">
        <f t="shared" si="1"/>
        <v>15.81093391061127</v>
      </c>
      <c r="L33" s="176">
        <f t="shared" si="2"/>
        <v>0.99055763411548592</v>
      </c>
      <c r="M33" s="177">
        <f t="shared" si="3"/>
        <v>4.5162913699249803E-2</v>
      </c>
      <c r="N33" s="176">
        <f t="shared" si="4"/>
        <v>0.87114111725416499</v>
      </c>
      <c r="O33" s="302">
        <f t="shared" si="5"/>
        <v>18.194328704439965</v>
      </c>
      <c r="P33" s="263"/>
    </row>
    <row r="34" spans="1:16" x14ac:dyDescent="0.25">
      <c r="A34" s="170" t="s">
        <v>77</v>
      </c>
      <c r="B34" s="200">
        <v>22</v>
      </c>
      <c r="C34" s="200"/>
      <c r="D34" s="200" t="s">
        <v>14</v>
      </c>
      <c r="E34" s="200" t="s">
        <v>44</v>
      </c>
      <c r="F34" s="201">
        <v>1629477.125</v>
      </c>
      <c r="G34" s="201">
        <v>61484.406860000003</v>
      </c>
      <c r="H34" s="301">
        <v>83880</v>
      </c>
      <c r="I34" s="301">
        <v>5202.8</v>
      </c>
      <c r="J34" s="261">
        <f t="shared" si="0"/>
        <v>1567992.71814</v>
      </c>
      <c r="K34" s="175">
        <f t="shared" si="1"/>
        <v>18.693284670243205</v>
      </c>
      <c r="L34" s="176">
        <f t="shared" si="2"/>
        <v>1.1262380130491148</v>
      </c>
      <c r="M34" s="177">
        <f t="shared" si="3"/>
        <v>3.7732598952562778E-2</v>
      </c>
      <c r="N34" s="176">
        <f t="shared" si="4"/>
        <v>0.79865449993156923</v>
      </c>
      <c r="O34" s="302">
        <f t="shared" si="5"/>
        <v>16.122088106404242</v>
      </c>
      <c r="P34" s="263"/>
    </row>
    <row r="35" spans="1:16" x14ac:dyDescent="0.25">
      <c r="A35" s="170" t="s">
        <v>77</v>
      </c>
      <c r="B35" s="200">
        <v>22</v>
      </c>
      <c r="C35" s="200"/>
      <c r="D35" s="200" t="s">
        <v>14</v>
      </c>
      <c r="E35" s="200" t="s">
        <v>23</v>
      </c>
      <c r="F35" s="201">
        <v>11727008.810000001</v>
      </c>
      <c r="G35" s="201">
        <v>682379.01489999995</v>
      </c>
      <c r="H35" s="301">
        <v>795499</v>
      </c>
      <c r="I35" s="301">
        <v>37434.620000000003</v>
      </c>
      <c r="J35" s="261">
        <f t="shared" ref="J35:J66" si="6">+F35-G35</f>
        <v>11044629.7951</v>
      </c>
      <c r="K35" s="175">
        <f t="shared" ref="K35:K66" si="7">+J35/H35</f>
        <v>13.883901544942232</v>
      </c>
      <c r="L35" s="176">
        <f t="shared" ref="L35:L66" si="8">+IF(E35="Weekdays",K35/$G$82,IF(E35="Saturdays",K35/$G$83,IF(E35="Sundays",K35/$G$84,"NA")))</f>
        <v>1.0342022003911107</v>
      </c>
      <c r="M35" s="177">
        <f t="shared" ref="M35:M66" si="9">G35/F35</f>
        <v>5.8188667370839976E-2</v>
      </c>
      <c r="N35" s="176">
        <f t="shared" ref="N35:N66" si="10">+IF(E35="Weekdays",M35/$G$88,IF(E35="Saturdays",M35/$G$89,IF(E35="Sundays",M35/$G$90,"NA")))</f>
        <v>0.84449954599598487</v>
      </c>
      <c r="O35" s="302">
        <f t="shared" ref="O35:O66" si="11">+H35/I35</f>
        <v>21.250355953927137</v>
      </c>
      <c r="P35" s="263"/>
    </row>
    <row r="36" spans="1:16" x14ac:dyDescent="0.25">
      <c r="A36" s="170" t="s">
        <v>77</v>
      </c>
      <c r="B36" s="200">
        <v>25</v>
      </c>
      <c r="C36" s="200"/>
      <c r="D36" s="200" t="s">
        <v>14</v>
      </c>
      <c r="E36" s="200" t="s">
        <v>23</v>
      </c>
      <c r="F36" s="201">
        <v>2357291.2988621499</v>
      </c>
      <c r="G36" s="201">
        <v>96636.691380000004</v>
      </c>
      <c r="H36" s="301">
        <v>91860</v>
      </c>
      <c r="I36" s="301">
        <v>6953.5600000000304</v>
      </c>
      <c r="J36" s="261">
        <f t="shared" si="6"/>
        <v>2260654.6074821497</v>
      </c>
      <c r="K36" s="175">
        <f t="shared" si="7"/>
        <v>24.609782358830284</v>
      </c>
      <c r="L36" s="176">
        <f t="shared" si="8"/>
        <v>1.8331656259778322</v>
      </c>
      <c r="M36" s="177">
        <f t="shared" si="9"/>
        <v>4.0994802562859305E-2</v>
      </c>
      <c r="N36" s="176">
        <f t="shared" si="10"/>
        <v>0.59496279459183576</v>
      </c>
      <c r="O36" s="302">
        <f t="shared" si="11"/>
        <v>13.210499370106765</v>
      </c>
      <c r="P36" s="263" t="s">
        <v>161</v>
      </c>
    </row>
    <row r="37" spans="1:16" x14ac:dyDescent="0.25">
      <c r="A37" s="170" t="s">
        <v>77</v>
      </c>
      <c r="B37" s="200">
        <v>54</v>
      </c>
      <c r="C37" s="200"/>
      <c r="D37" s="200" t="s">
        <v>14</v>
      </c>
      <c r="E37" s="200" t="s">
        <v>43</v>
      </c>
      <c r="F37" s="201">
        <v>1965720.9750000001</v>
      </c>
      <c r="G37" s="201">
        <v>155958.33609999999</v>
      </c>
      <c r="H37" s="301">
        <v>173356</v>
      </c>
      <c r="I37" s="301">
        <v>5945.03999999999</v>
      </c>
      <c r="J37" s="261">
        <f t="shared" si="6"/>
        <v>1809762.6389000001</v>
      </c>
      <c r="K37" s="175">
        <f t="shared" si="7"/>
        <v>10.439573126398857</v>
      </c>
      <c r="L37" s="176">
        <f t="shared" si="8"/>
        <v>0.65404098933846355</v>
      </c>
      <c r="M37" s="177">
        <f t="shared" si="9"/>
        <v>7.9338999829311974E-2</v>
      </c>
      <c r="N37" s="176">
        <f t="shared" si="10"/>
        <v>1.5303588562374555</v>
      </c>
      <c r="O37" s="302">
        <f t="shared" si="11"/>
        <v>29.159770161344632</v>
      </c>
      <c r="P37" s="263"/>
    </row>
    <row r="38" spans="1:16" x14ac:dyDescent="0.25">
      <c r="A38" s="170" t="s">
        <v>77</v>
      </c>
      <c r="B38" s="200">
        <v>54</v>
      </c>
      <c r="C38" s="200"/>
      <c r="D38" s="200" t="s">
        <v>14</v>
      </c>
      <c r="E38" s="200" t="s">
        <v>44</v>
      </c>
      <c r="F38" s="201">
        <v>1755059.848</v>
      </c>
      <c r="G38" s="201">
        <v>124073.38499999999</v>
      </c>
      <c r="H38" s="301">
        <v>145554</v>
      </c>
      <c r="I38" s="301">
        <v>5082.68</v>
      </c>
      <c r="J38" s="261">
        <f t="shared" si="6"/>
        <v>1630986.463</v>
      </c>
      <c r="K38" s="175">
        <f t="shared" si="7"/>
        <v>11.205370261208898</v>
      </c>
      <c r="L38" s="176">
        <f t="shared" si="8"/>
        <v>0.67510414360470761</v>
      </c>
      <c r="M38" s="177">
        <f t="shared" si="9"/>
        <v>7.0694674680974179E-2</v>
      </c>
      <c r="N38" s="176">
        <f t="shared" si="10"/>
        <v>1.4963353074655787</v>
      </c>
      <c r="O38" s="302">
        <f t="shared" si="11"/>
        <v>28.637254361872081</v>
      </c>
      <c r="P38" s="263"/>
    </row>
    <row r="39" spans="1:16" x14ac:dyDescent="0.25">
      <c r="A39" s="170" t="s">
        <v>77</v>
      </c>
      <c r="B39" s="200">
        <v>54</v>
      </c>
      <c r="C39" s="200"/>
      <c r="D39" s="200" t="s">
        <v>14</v>
      </c>
      <c r="E39" s="200" t="s">
        <v>23</v>
      </c>
      <c r="F39" s="201">
        <v>12467009.279999999</v>
      </c>
      <c r="G39" s="201">
        <v>1024906.394</v>
      </c>
      <c r="H39" s="301">
        <v>1051358</v>
      </c>
      <c r="I39" s="301">
        <v>37593.790000000103</v>
      </c>
      <c r="J39" s="261">
        <f t="shared" si="6"/>
        <v>11442102.886</v>
      </c>
      <c r="K39" s="175">
        <f t="shared" si="7"/>
        <v>10.883165283376357</v>
      </c>
      <c r="L39" s="176">
        <f t="shared" si="8"/>
        <v>0.81067943667377873</v>
      </c>
      <c r="M39" s="177">
        <f t="shared" si="9"/>
        <v>8.220948352418328E-2</v>
      </c>
      <c r="N39" s="176">
        <f t="shared" si="10"/>
        <v>1.1931167124052147</v>
      </c>
      <c r="O39" s="302">
        <f t="shared" si="11"/>
        <v>27.966267833064904</v>
      </c>
      <c r="P39" s="263"/>
    </row>
    <row r="40" spans="1:16" x14ac:dyDescent="0.25">
      <c r="A40" s="170" t="s">
        <v>77</v>
      </c>
      <c r="B40" s="200">
        <v>61</v>
      </c>
      <c r="C40" s="200"/>
      <c r="D40" s="200" t="s">
        <v>14</v>
      </c>
      <c r="E40" s="200" t="s">
        <v>43</v>
      </c>
      <c r="F40" s="201">
        <v>858240.90280000004</v>
      </c>
      <c r="G40" s="201">
        <v>31647.408909999998</v>
      </c>
      <c r="H40" s="301">
        <v>39592</v>
      </c>
      <c r="I40" s="301">
        <v>2613.04</v>
      </c>
      <c r="J40" s="261">
        <f t="shared" si="6"/>
        <v>826593.49389000004</v>
      </c>
      <c r="K40" s="175">
        <f t="shared" si="7"/>
        <v>20.877790813548192</v>
      </c>
      <c r="L40" s="176">
        <f t="shared" si="8"/>
        <v>1.3079970601829416</v>
      </c>
      <c r="M40" s="177">
        <f t="shared" si="9"/>
        <v>3.687473855738025E-2</v>
      </c>
      <c r="N40" s="176">
        <f t="shared" si="10"/>
        <v>0.71127166770608652</v>
      </c>
      <c r="O40" s="302">
        <f t="shared" si="11"/>
        <v>15.151700701099104</v>
      </c>
      <c r="P40" s="263"/>
    </row>
    <row r="41" spans="1:16" x14ac:dyDescent="0.25">
      <c r="A41" s="170" t="s">
        <v>77</v>
      </c>
      <c r="B41" s="200">
        <v>61</v>
      </c>
      <c r="C41" s="200"/>
      <c r="D41" s="200" t="s">
        <v>14</v>
      </c>
      <c r="E41" s="200" t="s">
        <v>23</v>
      </c>
      <c r="F41" s="201">
        <v>6872641.7400000002</v>
      </c>
      <c r="G41" s="201">
        <v>395894.62939999998</v>
      </c>
      <c r="H41" s="301">
        <v>408642</v>
      </c>
      <c r="I41" s="301">
        <v>21222.89</v>
      </c>
      <c r="J41" s="261">
        <f t="shared" si="6"/>
        <v>6476747.1106000002</v>
      </c>
      <c r="K41" s="175">
        <f t="shared" si="7"/>
        <v>15.849440612076096</v>
      </c>
      <c r="L41" s="176">
        <f t="shared" si="8"/>
        <v>1.1806138427961268</v>
      </c>
      <c r="M41" s="177">
        <f t="shared" si="9"/>
        <v>5.7604432818871183E-2</v>
      </c>
      <c r="N41" s="176">
        <f t="shared" si="10"/>
        <v>0.83602047547958291</v>
      </c>
      <c r="O41" s="302">
        <f t="shared" si="11"/>
        <v>19.254776328765782</v>
      </c>
      <c r="P41" s="263"/>
    </row>
    <row r="42" spans="1:16" x14ac:dyDescent="0.25">
      <c r="A42" s="170" t="s">
        <v>77</v>
      </c>
      <c r="B42" s="200">
        <v>62</v>
      </c>
      <c r="C42" s="200"/>
      <c r="D42" s="200" t="s">
        <v>14</v>
      </c>
      <c r="E42" s="200" t="s">
        <v>43</v>
      </c>
      <c r="F42" s="201">
        <v>1290898.828</v>
      </c>
      <c r="G42" s="201">
        <v>48679.185169999997</v>
      </c>
      <c r="H42" s="301">
        <v>63243</v>
      </c>
      <c r="I42" s="301">
        <v>3411.5</v>
      </c>
      <c r="J42" s="261">
        <f t="shared" si="6"/>
        <v>1242219.64283</v>
      </c>
      <c r="K42" s="175">
        <f t="shared" si="7"/>
        <v>19.642010069572919</v>
      </c>
      <c r="L42" s="176">
        <f t="shared" si="8"/>
        <v>1.2305751914332357</v>
      </c>
      <c r="M42" s="177">
        <f t="shared" si="9"/>
        <v>3.7709527744648322E-2</v>
      </c>
      <c r="N42" s="176">
        <f t="shared" si="10"/>
        <v>0.72737379942661995</v>
      </c>
      <c r="O42" s="302">
        <f t="shared" si="11"/>
        <v>18.538179686354976</v>
      </c>
      <c r="P42" s="263"/>
    </row>
    <row r="43" spans="1:16" x14ac:dyDescent="0.25">
      <c r="A43" s="170" t="s">
        <v>77</v>
      </c>
      <c r="B43" s="200">
        <v>62</v>
      </c>
      <c r="C43" s="200"/>
      <c r="D43" s="200" t="s">
        <v>14</v>
      </c>
      <c r="E43" s="200" t="s">
        <v>44</v>
      </c>
      <c r="F43" s="201">
        <v>825751.99450000003</v>
      </c>
      <c r="G43" s="201">
        <v>39172.406690000003</v>
      </c>
      <c r="H43" s="301">
        <v>51181</v>
      </c>
      <c r="I43" s="301">
        <v>2261.2600000000002</v>
      </c>
      <c r="J43" s="261">
        <f t="shared" si="6"/>
        <v>786579.58781000006</v>
      </c>
      <c r="K43" s="175">
        <f t="shared" si="7"/>
        <v>15.368585760536137</v>
      </c>
      <c r="L43" s="176">
        <f t="shared" si="8"/>
        <v>0.92593066417449177</v>
      </c>
      <c r="M43" s="177">
        <f t="shared" si="9"/>
        <v>4.7438464515873476E-2</v>
      </c>
      <c r="N43" s="176">
        <f t="shared" si="10"/>
        <v>1.00409047367974</v>
      </c>
      <c r="O43" s="302">
        <f t="shared" si="11"/>
        <v>22.633841309712281</v>
      </c>
      <c r="P43" s="263"/>
    </row>
    <row r="44" spans="1:16" x14ac:dyDescent="0.25">
      <c r="A44" s="170" t="s">
        <v>77</v>
      </c>
      <c r="B44" s="200">
        <v>62</v>
      </c>
      <c r="C44" s="200"/>
      <c r="D44" s="200" t="s">
        <v>14</v>
      </c>
      <c r="E44" s="200" t="s">
        <v>23</v>
      </c>
      <c r="F44" s="201">
        <v>6844938.6859999998</v>
      </c>
      <c r="G44" s="201">
        <v>356201.32659999997</v>
      </c>
      <c r="H44" s="301">
        <v>412330</v>
      </c>
      <c r="I44" s="301">
        <v>19481.62</v>
      </c>
      <c r="J44" s="261">
        <f t="shared" si="6"/>
        <v>6488737.3593999995</v>
      </c>
      <c r="K44" s="175">
        <f t="shared" si="7"/>
        <v>15.736757838139352</v>
      </c>
      <c r="L44" s="176">
        <f t="shared" si="8"/>
        <v>1.1722201810884056</v>
      </c>
      <c r="M44" s="177">
        <f t="shared" si="9"/>
        <v>5.2038643871060671E-2</v>
      </c>
      <c r="N44" s="176">
        <f t="shared" si="10"/>
        <v>0.75524347109176793</v>
      </c>
      <c r="O44" s="302">
        <f t="shared" si="11"/>
        <v>21.165077647546767</v>
      </c>
      <c r="P44" s="263"/>
    </row>
    <row r="45" spans="1:16" x14ac:dyDescent="0.25">
      <c r="A45" s="170" t="s">
        <v>77</v>
      </c>
      <c r="B45" s="200">
        <v>63</v>
      </c>
      <c r="C45" s="200"/>
      <c r="D45" s="200" t="s">
        <v>14</v>
      </c>
      <c r="E45" s="200" t="s">
        <v>43</v>
      </c>
      <c r="F45" s="201">
        <v>1844835.7890000001</v>
      </c>
      <c r="G45" s="201">
        <v>92425.976079999993</v>
      </c>
      <c r="H45" s="301">
        <v>100582</v>
      </c>
      <c r="I45" s="301">
        <v>5618.96000000001</v>
      </c>
      <c r="J45" s="261">
        <f t="shared" si="6"/>
        <v>1752409.8129200002</v>
      </c>
      <c r="K45" s="175">
        <f t="shared" si="7"/>
        <v>17.422698026684696</v>
      </c>
      <c r="L45" s="176">
        <f t="shared" si="8"/>
        <v>1.0915349235403966</v>
      </c>
      <c r="M45" s="177">
        <f t="shared" si="9"/>
        <v>5.0099839037760552E-2</v>
      </c>
      <c r="N45" s="176">
        <f t="shared" si="10"/>
        <v>0.9663687786896159</v>
      </c>
      <c r="O45" s="302">
        <f t="shared" si="11"/>
        <v>17.900465566581683</v>
      </c>
      <c r="P45" s="263"/>
    </row>
    <row r="46" spans="1:16" x14ac:dyDescent="0.25">
      <c r="A46" s="170" t="s">
        <v>77</v>
      </c>
      <c r="B46" s="200">
        <v>63</v>
      </c>
      <c r="C46" s="200"/>
      <c r="D46" s="200" t="s">
        <v>14</v>
      </c>
      <c r="E46" s="200" t="s">
        <v>44</v>
      </c>
      <c r="F46" s="201">
        <v>1657347.2660000001</v>
      </c>
      <c r="G46" s="201">
        <v>72798.202850000001</v>
      </c>
      <c r="H46" s="301">
        <v>83691</v>
      </c>
      <c r="I46" s="301">
        <v>4814.1899999999996</v>
      </c>
      <c r="J46" s="261">
        <f t="shared" si="6"/>
        <v>1584549.0631500001</v>
      </c>
      <c r="K46" s="175">
        <f t="shared" si="7"/>
        <v>18.933326918665092</v>
      </c>
      <c r="L46" s="176">
        <f t="shared" si="8"/>
        <v>1.1407001426148649</v>
      </c>
      <c r="M46" s="177">
        <f t="shared" si="9"/>
        <v>4.3924531897106954E-2</v>
      </c>
      <c r="N46" s="176">
        <f t="shared" si="10"/>
        <v>0.92971398819135842</v>
      </c>
      <c r="O46" s="302">
        <f t="shared" si="11"/>
        <v>17.384232861602889</v>
      </c>
      <c r="P46" s="263"/>
    </row>
    <row r="47" spans="1:16" x14ac:dyDescent="0.25">
      <c r="A47" s="170" t="s">
        <v>77</v>
      </c>
      <c r="B47" s="200">
        <v>63</v>
      </c>
      <c r="C47" s="200"/>
      <c r="D47" s="200" t="s">
        <v>14</v>
      </c>
      <c r="E47" s="200" t="s">
        <v>23</v>
      </c>
      <c r="F47" s="201">
        <v>10897077.25</v>
      </c>
      <c r="G47" s="201">
        <v>691123.96149999998</v>
      </c>
      <c r="H47" s="301">
        <v>686049</v>
      </c>
      <c r="I47" s="301">
        <v>33288.659999999902</v>
      </c>
      <c r="J47" s="261">
        <f t="shared" si="6"/>
        <v>10205953.2885</v>
      </c>
      <c r="K47" s="175">
        <f t="shared" si="7"/>
        <v>14.876420326390681</v>
      </c>
      <c r="L47" s="176">
        <f t="shared" si="8"/>
        <v>1.1081342363091715</v>
      </c>
      <c r="M47" s="177">
        <f t="shared" si="9"/>
        <v>6.3422874376705005E-2</v>
      </c>
      <c r="N47" s="176">
        <f t="shared" si="10"/>
        <v>0.92046425939853227</v>
      </c>
      <c r="O47" s="302">
        <f t="shared" si="11"/>
        <v>20.609090302823905</v>
      </c>
      <c r="P47" s="263"/>
    </row>
    <row r="48" spans="1:16" x14ac:dyDescent="0.25">
      <c r="A48" s="170" t="s">
        <v>77</v>
      </c>
      <c r="B48" s="200">
        <v>64</v>
      </c>
      <c r="C48" s="200"/>
      <c r="D48" s="200" t="s">
        <v>14</v>
      </c>
      <c r="E48" s="200" t="s">
        <v>43</v>
      </c>
      <c r="F48" s="201">
        <v>1681555.8119999999</v>
      </c>
      <c r="G48" s="201">
        <v>91236.568310000002</v>
      </c>
      <c r="H48" s="301">
        <v>122677</v>
      </c>
      <c r="I48" s="301">
        <v>4975.68</v>
      </c>
      <c r="J48" s="261">
        <f t="shared" si="6"/>
        <v>1590319.2436899999</v>
      </c>
      <c r="K48" s="175">
        <f t="shared" si="7"/>
        <v>12.963467020631413</v>
      </c>
      <c r="L48" s="176">
        <f t="shared" si="8"/>
        <v>0.81216336077862517</v>
      </c>
      <c r="M48" s="177">
        <f t="shared" si="9"/>
        <v>5.4257234674527713E-2</v>
      </c>
      <c r="N48" s="176">
        <f t="shared" si="10"/>
        <v>1.0465602008816941</v>
      </c>
      <c r="O48" s="302">
        <f t="shared" si="11"/>
        <v>24.655323493472249</v>
      </c>
      <c r="P48" s="263"/>
    </row>
    <row r="49" spans="1:16" x14ac:dyDescent="0.25">
      <c r="A49" s="170" t="s">
        <v>77</v>
      </c>
      <c r="B49" s="200">
        <v>64</v>
      </c>
      <c r="C49" s="200"/>
      <c r="D49" s="200" t="s">
        <v>14</v>
      </c>
      <c r="E49" s="200" t="s">
        <v>44</v>
      </c>
      <c r="F49" s="201">
        <v>1377765.0649999999</v>
      </c>
      <c r="G49" s="201">
        <v>85289.529479999997</v>
      </c>
      <c r="H49" s="301">
        <v>119279</v>
      </c>
      <c r="I49" s="301">
        <v>4084.4099999999899</v>
      </c>
      <c r="J49" s="261">
        <f t="shared" si="6"/>
        <v>1292475.5355199999</v>
      </c>
      <c r="K49" s="175">
        <f t="shared" si="7"/>
        <v>10.835734165444043</v>
      </c>
      <c r="L49" s="176">
        <f t="shared" si="8"/>
        <v>0.65283420927325631</v>
      </c>
      <c r="M49" s="177">
        <f t="shared" si="9"/>
        <v>6.1904261943236311E-2</v>
      </c>
      <c r="N49" s="176">
        <f t="shared" si="10"/>
        <v>1.3102759613262822</v>
      </c>
      <c r="O49" s="302">
        <f t="shared" si="11"/>
        <v>29.203483489659533</v>
      </c>
      <c r="P49" s="263"/>
    </row>
    <row r="50" spans="1:16" x14ac:dyDescent="0.25">
      <c r="A50" s="170" t="s">
        <v>77</v>
      </c>
      <c r="B50" s="200">
        <v>64</v>
      </c>
      <c r="C50" s="200"/>
      <c r="D50" s="200" t="s">
        <v>14</v>
      </c>
      <c r="E50" s="200" t="s">
        <v>23</v>
      </c>
      <c r="F50" s="201">
        <v>9754186.6339999996</v>
      </c>
      <c r="G50" s="201">
        <v>668874.74040000001</v>
      </c>
      <c r="H50" s="301">
        <v>816424</v>
      </c>
      <c r="I50" s="301">
        <v>28005.84</v>
      </c>
      <c r="J50" s="261">
        <f t="shared" si="6"/>
        <v>9085311.8936000001</v>
      </c>
      <c r="K50" s="175">
        <f t="shared" si="7"/>
        <v>11.128178365163199</v>
      </c>
      <c r="L50" s="176">
        <f t="shared" si="8"/>
        <v>0.82893029126881634</v>
      </c>
      <c r="M50" s="177">
        <f t="shared" si="9"/>
        <v>6.8573092303618105E-2</v>
      </c>
      <c r="N50" s="176">
        <f t="shared" si="10"/>
        <v>0.99521002859341312</v>
      </c>
      <c r="O50" s="302">
        <f t="shared" si="11"/>
        <v>29.151919742453718</v>
      </c>
      <c r="P50" s="263"/>
    </row>
    <row r="51" spans="1:16" s="96" customFormat="1" x14ac:dyDescent="0.25">
      <c r="A51" s="170" t="s">
        <v>77</v>
      </c>
      <c r="B51" s="200">
        <v>68</v>
      </c>
      <c r="C51" s="200"/>
      <c r="D51" s="200" t="s">
        <v>14</v>
      </c>
      <c r="E51" s="200" t="s">
        <v>43</v>
      </c>
      <c r="F51" s="201">
        <v>1742781.327</v>
      </c>
      <c r="G51" s="201">
        <v>87312.031700000007</v>
      </c>
      <c r="H51" s="301">
        <v>104362</v>
      </c>
      <c r="I51" s="301">
        <v>5251.77</v>
      </c>
      <c r="J51" s="261">
        <f t="shared" si="6"/>
        <v>1655469.2953000001</v>
      </c>
      <c r="K51" s="175">
        <f t="shared" si="7"/>
        <v>15.862759388474734</v>
      </c>
      <c r="L51" s="176">
        <f t="shared" si="8"/>
        <v>0.99380450890666339</v>
      </c>
      <c r="M51" s="177">
        <f t="shared" si="9"/>
        <v>5.0099246731256722E-2</v>
      </c>
      <c r="N51" s="176">
        <f t="shared" si="10"/>
        <v>0.96635735377241638</v>
      </c>
      <c r="O51" s="302">
        <f t="shared" si="11"/>
        <v>19.87177656294925</v>
      </c>
      <c r="P51" s="263"/>
    </row>
    <row r="52" spans="1:16" s="96" customFormat="1" x14ac:dyDescent="0.25">
      <c r="A52" s="170" t="s">
        <v>77</v>
      </c>
      <c r="B52" s="200">
        <v>68</v>
      </c>
      <c r="C52" s="200"/>
      <c r="D52" s="200" t="s">
        <v>14</v>
      </c>
      <c r="E52" s="200" t="s">
        <v>44</v>
      </c>
      <c r="F52" s="201">
        <v>1600308.4779999999</v>
      </c>
      <c r="G52" s="201">
        <v>77691.572310000003</v>
      </c>
      <c r="H52" s="301">
        <v>94668</v>
      </c>
      <c r="I52" s="301">
        <v>4717.0600000000004</v>
      </c>
      <c r="J52" s="261">
        <f t="shared" si="6"/>
        <v>1522616.9056899999</v>
      </c>
      <c r="K52" s="175">
        <f t="shared" si="7"/>
        <v>16.08375486637512</v>
      </c>
      <c r="L52" s="176">
        <f t="shared" si="8"/>
        <v>0.96901836368598315</v>
      </c>
      <c r="M52" s="177">
        <f t="shared" si="9"/>
        <v>4.8547872724573546E-2</v>
      </c>
      <c r="N52" s="176">
        <f t="shared" si="10"/>
        <v>1.027572393365507</v>
      </c>
      <c r="O52" s="302">
        <f t="shared" si="11"/>
        <v>20.069280441631015</v>
      </c>
      <c r="P52" s="263"/>
    </row>
    <row r="53" spans="1:16" s="96" customFormat="1" x14ac:dyDescent="0.25">
      <c r="A53" s="170" t="s">
        <v>77</v>
      </c>
      <c r="B53" s="200">
        <v>68</v>
      </c>
      <c r="C53" s="200"/>
      <c r="D53" s="200" t="s">
        <v>14</v>
      </c>
      <c r="E53" s="200" t="s">
        <v>23</v>
      </c>
      <c r="F53" s="201">
        <v>9414694.1309999991</v>
      </c>
      <c r="G53" s="201">
        <v>584438.66610000003</v>
      </c>
      <c r="H53" s="301">
        <v>610769</v>
      </c>
      <c r="I53" s="301">
        <v>28294.080000000002</v>
      </c>
      <c r="J53" s="261">
        <f t="shared" si="6"/>
        <v>8830255.4648999982</v>
      </c>
      <c r="K53" s="175">
        <f t="shared" si="7"/>
        <v>14.457602571348575</v>
      </c>
      <c r="L53" s="176">
        <f t="shared" si="8"/>
        <v>1.0769367921019126</v>
      </c>
      <c r="M53" s="177">
        <f t="shared" si="9"/>
        <v>6.2077286629589397E-2</v>
      </c>
      <c r="N53" s="176">
        <f t="shared" si="10"/>
        <v>0.90093557292260951</v>
      </c>
      <c r="O53" s="302">
        <f t="shared" si="11"/>
        <v>21.586459075538063</v>
      </c>
      <c r="P53" s="263"/>
    </row>
    <row r="54" spans="1:16" s="96" customFormat="1" x14ac:dyDescent="0.25">
      <c r="A54" s="170" t="s">
        <v>77</v>
      </c>
      <c r="B54" s="200">
        <v>70</v>
      </c>
      <c r="C54" s="200"/>
      <c r="D54" s="200" t="s">
        <v>14</v>
      </c>
      <c r="E54" s="200" t="s">
        <v>43</v>
      </c>
      <c r="F54" s="201">
        <v>22058</v>
      </c>
      <c r="G54" s="201">
        <v>950</v>
      </c>
      <c r="H54" s="301">
        <v>1894</v>
      </c>
      <c r="I54" s="301">
        <v>181.24</v>
      </c>
      <c r="J54" s="261">
        <f t="shared" si="6"/>
        <v>21108</v>
      </c>
      <c r="K54" s="175">
        <f t="shared" si="7"/>
        <v>11.144667370644139</v>
      </c>
      <c r="L54" s="176">
        <f t="shared" si="8"/>
        <v>0.69821526078610452</v>
      </c>
      <c r="M54" s="177">
        <f t="shared" si="9"/>
        <v>4.3068274548916492E-2</v>
      </c>
      <c r="N54" s="176">
        <f t="shared" si="10"/>
        <v>0.8307379160387397</v>
      </c>
      <c r="O54" s="302">
        <f t="shared" si="11"/>
        <v>10.450231736923415</v>
      </c>
      <c r="P54" s="263"/>
    </row>
    <row r="55" spans="1:16" s="96" customFormat="1" x14ac:dyDescent="0.25">
      <c r="A55" s="170" t="s">
        <v>77</v>
      </c>
      <c r="B55" s="200">
        <v>70</v>
      </c>
      <c r="C55" s="200"/>
      <c r="D55" s="200" t="s">
        <v>14</v>
      </c>
      <c r="E55" s="200" t="s">
        <v>44</v>
      </c>
      <c r="F55" s="201">
        <v>22983</v>
      </c>
      <c r="G55" s="201">
        <v>690</v>
      </c>
      <c r="H55" s="301">
        <v>1712</v>
      </c>
      <c r="I55" s="301">
        <v>188</v>
      </c>
      <c r="J55" s="261">
        <f t="shared" si="6"/>
        <v>22293</v>
      </c>
      <c r="K55" s="175">
        <f t="shared" si="7"/>
        <v>13.021612149532711</v>
      </c>
      <c r="L55" s="176">
        <f t="shared" si="8"/>
        <v>0.78452957052170813</v>
      </c>
      <c r="M55" s="177">
        <f t="shared" si="9"/>
        <v>3.0022190314580342E-2</v>
      </c>
      <c r="N55" s="176">
        <f t="shared" si="10"/>
        <v>0.63545470119049496</v>
      </c>
      <c r="O55" s="302">
        <f t="shared" si="11"/>
        <v>9.1063829787234045</v>
      </c>
      <c r="P55" s="263"/>
    </row>
    <row r="56" spans="1:16" s="96" customFormat="1" x14ac:dyDescent="0.25">
      <c r="A56" s="170" t="s">
        <v>77</v>
      </c>
      <c r="B56" s="200">
        <v>70</v>
      </c>
      <c r="C56" s="200"/>
      <c r="D56" s="200" t="s">
        <v>14</v>
      </c>
      <c r="E56" s="200" t="s">
        <v>23</v>
      </c>
      <c r="F56" s="201">
        <v>190560</v>
      </c>
      <c r="G56" s="201">
        <v>12671</v>
      </c>
      <c r="H56" s="301">
        <v>18196</v>
      </c>
      <c r="I56" s="301">
        <v>1579.92</v>
      </c>
      <c r="J56" s="261">
        <f t="shared" si="6"/>
        <v>177889</v>
      </c>
      <c r="K56" s="175">
        <f t="shared" si="7"/>
        <v>9.7762695097823702</v>
      </c>
      <c r="L56" s="176">
        <f t="shared" si="8"/>
        <v>0.72822753790822281</v>
      </c>
      <c r="M56" s="177">
        <f t="shared" si="9"/>
        <v>6.6493492863140213E-2</v>
      </c>
      <c r="N56" s="176">
        <f t="shared" si="10"/>
        <v>0.96502853685818257</v>
      </c>
      <c r="O56" s="302">
        <f t="shared" si="11"/>
        <v>11.517038837409489</v>
      </c>
      <c r="P56" s="263"/>
    </row>
    <row r="57" spans="1:16" x14ac:dyDescent="0.25">
      <c r="A57" s="217" t="s">
        <v>77</v>
      </c>
      <c r="B57" s="200">
        <v>71</v>
      </c>
      <c r="C57" s="200"/>
      <c r="D57" s="200" t="s">
        <v>14</v>
      </c>
      <c r="E57" s="200" t="s">
        <v>43</v>
      </c>
      <c r="F57" s="201">
        <v>770403.17339999997</v>
      </c>
      <c r="G57" s="201">
        <v>18558.833299999998</v>
      </c>
      <c r="H57" s="301">
        <v>21580</v>
      </c>
      <c r="I57" s="301">
        <v>2072.61</v>
      </c>
      <c r="J57" s="261">
        <f t="shared" si="6"/>
        <v>751844.34009999991</v>
      </c>
      <c r="K57" s="175">
        <f t="shared" si="7"/>
        <v>34.839867474513433</v>
      </c>
      <c r="L57" s="176">
        <f t="shared" si="8"/>
        <v>2.1827234806977232</v>
      </c>
      <c r="M57" s="177">
        <f t="shared" si="9"/>
        <v>2.4089767463047678E-2</v>
      </c>
      <c r="N57" s="176">
        <f t="shared" si="10"/>
        <v>0.46466415080967144</v>
      </c>
      <c r="O57" s="302">
        <f t="shared" si="11"/>
        <v>10.411992608353717</v>
      </c>
      <c r="P57" s="263" t="s">
        <v>162</v>
      </c>
    </row>
    <row r="58" spans="1:16" x14ac:dyDescent="0.25">
      <c r="A58" s="217" t="s">
        <v>77</v>
      </c>
      <c r="B58" s="200">
        <v>71</v>
      </c>
      <c r="C58" s="200"/>
      <c r="D58" s="200" t="s">
        <v>14</v>
      </c>
      <c r="E58" s="200" t="s">
        <v>44</v>
      </c>
      <c r="F58" s="201">
        <v>333620.58130000002</v>
      </c>
      <c r="G58" s="201">
        <v>9747.7141439999996</v>
      </c>
      <c r="H58" s="301">
        <v>11919</v>
      </c>
      <c r="I58" s="301">
        <v>875.68</v>
      </c>
      <c r="J58" s="261">
        <f t="shared" si="6"/>
        <v>323872.86715599999</v>
      </c>
      <c r="K58" s="175">
        <f t="shared" si="7"/>
        <v>27.172822145817602</v>
      </c>
      <c r="L58" s="176">
        <f t="shared" si="8"/>
        <v>1.6371154541479758</v>
      </c>
      <c r="M58" s="177">
        <f t="shared" si="9"/>
        <v>2.921796402972696E-2</v>
      </c>
      <c r="N58" s="176">
        <f t="shared" si="10"/>
        <v>0.61843231314431513</v>
      </c>
      <c r="O58" s="302">
        <f t="shared" si="11"/>
        <v>13.611136488214873</v>
      </c>
      <c r="P58" s="263" t="s">
        <v>162</v>
      </c>
    </row>
    <row r="59" spans="1:16" x14ac:dyDescent="0.25">
      <c r="A59" s="217" t="s">
        <v>77</v>
      </c>
      <c r="B59" s="200">
        <v>71</v>
      </c>
      <c r="C59" s="200"/>
      <c r="D59" s="200" t="s">
        <v>14</v>
      </c>
      <c r="E59" s="200" t="s">
        <v>23</v>
      </c>
      <c r="F59" s="201">
        <v>5558288.6459999997</v>
      </c>
      <c r="G59" s="201">
        <v>190471.5221</v>
      </c>
      <c r="H59" s="301">
        <v>194372</v>
      </c>
      <c r="I59" s="301">
        <v>15878.84</v>
      </c>
      <c r="J59" s="261">
        <f t="shared" si="6"/>
        <v>5367817.1239</v>
      </c>
      <c r="K59" s="175">
        <f t="shared" si="7"/>
        <v>27.616205646389396</v>
      </c>
      <c r="L59" s="176">
        <f t="shared" si="8"/>
        <v>2.0571120123185924</v>
      </c>
      <c r="M59" s="177">
        <f t="shared" si="9"/>
        <v>3.4268015612516287E-2</v>
      </c>
      <c r="N59" s="176">
        <f t="shared" si="10"/>
        <v>0.49733607821813874</v>
      </c>
      <c r="O59" s="302">
        <f t="shared" si="11"/>
        <v>12.24094455262475</v>
      </c>
      <c r="P59" s="263" t="s">
        <v>162</v>
      </c>
    </row>
    <row r="60" spans="1:16" x14ac:dyDescent="0.25">
      <c r="A60" s="217" t="s">
        <v>77</v>
      </c>
      <c r="B60" s="200">
        <v>72</v>
      </c>
      <c r="C60" s="200"/>
      <c r="D60" s="200" t="s">
        <v>14</v>
      </c>
      <c r="E60" s="200" t="s">
        <v>43</v>
      </c>
      <c r="F60" s="201">
        <v>159329</v>
      </c>
      <c r="G60" s="201">
        <v>6793</v>
      </c>
      <c r="H60" s="301">
        <v>13823</v>
      </c>
      <c r="I60" s="301">
        <v>1309.7500000000002</v>
      </c>
      <c r="J60" s="261">
        <f t="shared" si="6"/>
        <v>152536</v>
      </c>
      <c r="K60" s="175">
        <f t="shared" si="7"/>
        <v>11.034941763727122</v>
      </c>
      <c r="L60" s="176">
        <f t="shared" si="8"/>
        <v>0.69134093329829804</v>
      </c>
      <c r="M60" s="177">
        <f t="shared" si="9"/>
        <v>4.2635050744057892E-2</v>
      </c>
      <c r="N60" s="176">
        <f t="shared" si="10"/>
        <v>0.82238152274005205</v>
      </c>
      <c r="O60" s="302">
        <f t="shared" si="11"/>
        <v>10.553922504294711</v>
      </c>
      <c r="P60" s="263"/>
    </row>
    <row r="61" spans="1:16" x14ac:dyDescent="0.25">
      <c r="A61" s="217" t="s">
        <v>77</v>
      </c>
      <c r="B61" s="200">
        <v>72</v>
      </c>
      <c r="C61" s="200"/>
      <c r="D61" s="200" t="s">
        <v>14</v>
      </c>
      <c r="E61" s="200" t="s">
        <v>44</v>
      </c>
      <c r="F61" s="201">
        <v>168950</v>
      </c>
      <c r="G61" s="201">
        <v>4872</v>
      </c>
      <c r="H61" s="301">
        <v>13295</v>
      </c>
      <c r="I61" s="301">
        <v>1356.69</v>
      </c>
      <c r="J61" s="261">
        <f t="shared" si="6"/>
        <v>164078</v>
      </c>
      <c r="K61" s="175">
        <f t="shared" si="7"/>
        <v>12.341331327566754</v>
      </c>
      <c r="L61" s="176">
        <f t="shared" si="8"/>
        <v>0.74354382966547639</v>
      </c>
      <c r="M61" s="177">
        <f t="shared" si="9"/>
        <v>2.8836934004143236E-2</v>
      </c>
      <c r="N61" s="176">
        <f t="shared" si="10"/>
        <v>0.6103673678983208</v>
      </c>
      <c r="O61" s="302">
        <f t="shared" si="11"/>
        <v>9.7995857565103304</v>
      </c>
      <c r="P61" s="263"/>
    </row>
    <row r="62" spans="1:16" x14ac:dyDescent="0.25">
      <c r="A62" s="217" t="s">
        <v>77</v>
      </c>
      <c r="B62" s="200">
        <v>72</v>
      </c>
      <c r="C62" s="200"/>
      <c r="D62" s="200" t="s">
        <v>14</v>
      </c>
      <c r="E62" s="200" t="s">
        <v>23</v>
      </c>
      <c r="F62" s="201">
        <v>877595</v>
      </c>
      <c r="G62" s="201">
        <v>47546</v>
      </c>
      <c r="H62" s="301">
        <v>85633</v>
      </c>
      <c r="I62" s="301">
        <v>7490.78</v>
      </c>
      <c r="J62" s="261">
        <f t="shared" si="6"/>
        <v>830049</v>
      </c>
      <c r="K62" s="175">
        <f t="shared" si="7"/>
        <v>9.6930972872607519</v>
      </c>
      <c r="L62" s="176">
        <f t="shared" si="8"/>
        <v>0.72203209671578572</v>
      </c>
      <c r="M62" s="177">
        <f t="shared" si="9"/>
        <v>5.4177610401153153E-2</v>
      </c>
      <c r="N62" s="176">
        <f t="shared" si="10"/>
        <v>0.78628656496521387</v>
      </c>
      <c r="O62" s="302">
        <f t="shared" si="11"/>
        <v>11.431786809918327</v>
      </c>
      <c r="P62" s="263"/>
    </row>
    <row r="63" spans="1:16" x14ac:dyDescent="0.25">
      <c r="A63" s="217" t="s">
        <v>77</v>
      </c>
      <c r="B63" s="200">
        <v>74</v>
      </c>
      <c r="C63" s="200"/>
      <c r="D63" s="200" t="s">
        <v>14</v>
      </c>
      <c r="E63" s="200" t="s">
        <v>43</v>
      </c>
      <c r="F63" s="201">
        <v>1204521.9180000001</v>
      </c>
      <c r="G63" s="201">
        <v>69890.007540000006</v>
      </c>
      <c r="H63" s="301">
        <v>79735</v>
      </c>
      <c r="I63" s="301">
        <v>3489.96</v>
      </c>
      <c r="J63" s="261">
        <f t="shared" si="6"/>
        <v>1134631.9104600002</v>
      </c>
      <c r="K63" s="175">
        <f t="shared" si="7"/>
        <v>14.230035874584564</v>
      </c>
      <c r="L63" s="176">
        <f t="shared" si="8"/>
        <v>0.8915141097292727</v>
      </c>
      <c r="M63" s="177">
        <f t="shared" si="9"/>
        <v>5.8023026808882029E-2</v>
      </c>
      <c r="N63" s="176">
        <f t="shared" si="10"/>
        <v>1.1191980379600148</v>
      </c>
      <c r="O63" s="302">
        <f t="shared" si="11"/>
        <v>22.846966727412347</v>
      </c>
      <c r="P63" s="263"/>
    </row>
    <row r="64" spans="1:16" x14ac:dyDescent="0.25">
      <c r="A64" s="217" t="s">
        <v>77</v>
      </c>
      <c r="B64" s="200">
        <v>74</v>
      </c>
      <c r="C64" s="200"/>
      <c r="D64" s="200" t="s">
        <v>14</v>
      </c>
      <c r="E64" s="200" t="s">
        <v>44</v>
      </c>
      <c r="F64" s="201">
        <v>1342695.8540000001</v>
      </c>
      <c r="G64" s="201">
        <v>68320.53224</v>
      </c>
      <c r="H64" s="301">
        <v>77530</v>
      </c>
      <c r="I64" s="301">
        <v>3882</v>
      </c>
      <c r="J64" s="261">
        <f t="shared" si="6"/>
        <v>1274375.32176</v>
      </c>
      <c r="K64" s="175">
        <f t="shared" si="7"/>
        <v>16.437189755707468</v>
      </c>
      <c r="L64" s="176">
        <f t="shared" si="8"/>
        <v>0.99031220340038795</v>
      </c>
      <c r="M64" s="177">
        <f t="shared" si="9"/>
        <v>5.0883103598233052E-2</v>
      </c>
      <c r="N64" s="176">
        <f t="shared" si="10"/>
        <v>1.0770002805876941</v>
      </c>
      <c r="O64" s="302">
        <f t="shared" si="11"/>
        <v>19.97166409067491</v>
      </c>
      <c r="P64" s="263"/>
    </row>
    <row r="65" spans="1:16" x14ac:dyDescent="0.25">
      <c r="A65" s="217" t="s">
        <v>77</v>
      </c>
      <c r="B65" s="200">
        <v>74</v>
      </c>
      <c r="C65" s="200"/>
      <c r="D65" s="200" t="s">
        <v>14</v>
      </c>
      <c r="E65" s="200" t="s">
        <v>23</v>
      </c>
      <c r="F65" s="201">
        <v>9276677.7349999994</v>
      </c>
      <c r="G65" s="201">
        <v>641290.99990000005</v>
      </c>
      <c r="H65" s="301">
        <v>642050</v>
      </c>
      <c r="I65" s="301">
        <v>28109.559999999899</v>
      </c>
      <c r="J65" s="261">
        <f t="shared" si="6"/>
        <v>8635386.7350999992</v>
      </c>
      <c r="K65" s="175">
        <f t="shared" si="7"/>
        <v>13.449710669106766</v>
      </c>
      <c r="L65" s="176">
        <f t="shared" si="8"/>
        <v>1.0018596230741199</v>
      </c>
      <c r="M65" s="177">
        <f t="shared" si="9"/>
        <v>6.9129382114943128E-2</v>
      </c>
      <c r="N65" s="176">
        <f t="shared" si="10"/>
        <v>1.0032835335271522</v>
      </c>
      <c r="O65" s="302">
        <f t="shared" si="11"/>
        <v>22.84098363688376</v>
      </c>
      <c r="P65" s="263"/>
    </row>
    <row r="66" spans="1:16" ht="15.75" thickBot="1" x14ac:dyDescent="0.3">
      <c r="A66" s="243" t="s">
        <v>77</v>
      </c>
      <c r="B66" s="303">
        <v>75</v>
      </c>
      <c r="C66" s="303"/>
      <c r="D66" s="303" t="s">
        <v>14</v>
      </c>
      <c r="E66" s="303" t="s">
        <v>23</v>
      </c>
      <c r="F66" s="304">
        <v>649336</v>
      </c>
      <c r="G66" s="304">
        <v>72291</v>
      </c>
      <c r="H66" s="305">
        <v>98849</v>
      </c>
      <c r="I66" s="305">
        <v>5864.89</v>
      </c>
      <c r="J66" s="268">
        <f t="shared" si="6"/>
        <v>577045</v>
      </c>
      <c r="K66" s="187">
        <f t="shared" si="7"/>
        <v>5.8376412507966693</v>
      </c>
      <c r="L66" s="188">
        <f t="shared" si="8"/>
        <v>0.43484184954244076</v>
      </c>
      <c r="M66" s="189">
        <f t="shared" si="9"/>
        <v>0.11133065161950054</v>
      </c>
      <c r="N66" s="188">
        <f t="shared" si="10"/>
        <v>1.6157559366142289</v>
      </c>
      <c r="O66" s="306">
        <f t="shared" si="11"/>
        <v>16.854365555023197</v>
      </c>
      <c r="P66" s="270"/>
    </row>
    <row r="67" spans="1:16" ht="24.75" customHeight="1" x14ac:dyDescent="0.4">
      <c r="A67" s="438" t="s">
        <v>141</v>
      </c>
      <c r="B67" s="287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</row>
    <row r="68" spans="1:16" x14ac:dyDescent="0.25">
      <c r="A68" s="170" t="s">
        <v>77</v>
      </c>
      <c r="B68" s="200">
        <v>21</v>
      </c>
      <c r="C68" s="200"/>
      <c r="D68" s="200" t="s">
        <v>14</v>
      </c>
      <c r="E68" s="200" t="s">
        <v>43</v>
      </c>
      <c r="F68" s="201">
        <v>1759437.5319999999</v>
      </c>
      <c r="G68" s="201">
        <v>138717.8621</v>
      </c>
      <c r="H68" s="301">
        <v>175453</v>
      </c>
      <c r="I68" s="301">
        <v>5338.76</v>
      </c>
      <c r="J68" s="261">
        <f t="shared" ref="J68:J73" si="12">+F68-G68</f>
        <v>1620719.6698999999</v>
      </c>
      <c r="K68" s="175">
        <f t="shared" ref="K68:K73" si="13">+J68/H68</f>
        <v>9.2373437325095598</v>
      </c>
      <c r="L68" s="176">
        <f t="shared" ref="L68:L73" si="14">+IF(E68="Weekdays",K68/$G$82,IF(E68="Saturdays",K68/$G$83,IF(E68="Sundays",K68/$G$84,"NA")))</f>
        <v>0.57872111824116945</v>
      </c>
      <c r="M68" s="177">
        <f t="shared" ref="M68:M73" si="15">G68/F68</f>
        <v>7.884216380351719E-2</v>
      </c>
      <c r="N68" s="176">
        <f t="shared" ref="N68:N73" si="16">+IF(E68="Weekdays",M68/$G$88,IF(E68="Saturdays",M68/$G$89,IF(E68="Sundays",M68/$G$90,"NA")))</f>
        <v>1.5207754557180559</v>
      </c>
      <c r="O68" s="302">
        <f t="shared" ref="O68:O73" si="17">+H68/I68</f>
        <v>32.863998381646674</v>
      </c>
      <c r="P68" s="263" t="s">
        <v>154</v>
      </c>
    </row>
    <row r="69" spans="1:16" x14ac:dyDescent="0.25">
      <c r="A69" s="170" t="s">
        <v>77</v>
      </c>
      <c r="B69" s="200">
        <v>21</v>
      </c>
      <c r="C69" s="200"/>
      <c r="D69" s="200" t="s">
        <v>14</v>
      </c>
      <c r="E69" s="200" t="s">
        <v>44</v>
      </c>
      <c r="F69" s="201">
        <v>1733204.845</v>
      </c>
      <c r="G69" s="201">
        <v>122117.0552</v>
      </c>
      <c r="H69" s="301">
        <v>157512</v>
      </c>
      <c r="I69" s="301">
        <v>5219.62</v>
      </c>
      <c r="J69" s="261">
        <f t="shared" si="12"/>
        <v>1611087.7897999999</v>
      </c>
      <c r="K69" s="175">
        <f t="shared" si="13"/>
        <v>10.228349521306313</v>
      </c>
      <c r="L69" s="176">
        <f t="shared" si="14"/>
        <v>0.61624033682990043</v>
      </c>
      <c r="M69" s="177">
        <f t="shared" si="15"/>
        <v>7.0457370086569313E-2</v>
      </c>
      <c r="N69" s="176">
        <f t="shared" si="16"/>
        <v>1.4913124787329448</v>
      </c>
      <c r="O69" s="302">
        <f t="shared" si="17"/>
        <v>30.176909430188406</v>
      </c>
      <c r="P69" s="263" t="s">
        <v>154</v>
      </c>
    </row>
    <row r="70" spans="1:16" x14ac:dyDescent="0.25">
      <c r="A70" s="170" t="s">
        <v>77</v>
      </c>
      <c r="B70" s="200">
        <v>21</v>
      </c>
      <c r="C70" s="200"/>
      <c r="D70" s="200" t="s">
        <v>14</v>
      </c>
      <c r="E70" s="200" t="s">
        <v>23</v>
      </c>
      <c r="F70" s="201">
        <v>10122179.43</v>
      </c>
      <c r="G70" s="201">
        <v>928555.88130000001</v>
      </c>
      <c r="H70" s="301">
        <v>1092528</v>
      </c>
      <c r="I70" s="301">
        <v>31188.92</v>
      </c>
      <c r="J70" s="261">
        <f t="shared" si="12"/>
        <v>9193623.5486999992</v>
      </c>
      <c r="K70" s="175">
        <f t="shared" si="13"/>
        <v>8.4150003923926882</v>
      </c>
      <c r="L70" s="176">
        <f t="shared" si="14"/>
        <v>0.62682754512004779</v>
      </c>
      <c r="M70" s="177">
        <f t="shared" si="15"/>
        <v>9.1734777843194198E-2</v>
      </c>
      <c r="N70" s="176">
        <f t="shared" si="16"/>
        <v>1.3313585229044527</v>
      </c>
      <c r="O70" s="302">
        <f t="shared" si="17"/>
        <v>35.029362991729116</v>
      </c>
      <c r="P70" s="263" t="s">
        <v>154</v>
      </c>
    </row>
    <row r="71" spans="1:16" x14ac:dyDescent="0.25">
      <c r="A71" s="170" t="s">
        <v>77</v>
      </c>
      <c r="B71" s="200">
        <v>6</v>
      </c>
      <c r="C71" s="200"/>
      <c r="D71" s="200" t="s">
        <v>14</v>
      </c>
      <c r="E71" s="200" t="s">
        <v>43</v>
      </c>
      <c r="F71" s="201">
        <v>2719298.47</v>
      </c>
      <c r="G71" s="201">
        <v>135675.6251</v>
      </c>
      <c r="H71" s="301">
        <v>142123</v>
      </c>
      <c r="I71" s="301">
        <v>7991.7599999999902</v>
      </c>
      <c r="J71" s="261">
        <f t="shared" si="12"/>
        <v>2583622.8449000004</v>
      </c>
      <c r="K71" s="175">
        <f t="shared" si="13"/>
        <v>18.178780668153646</v>
      </c>
      <c r="L71" s="176">
        <f t="shared" si="14"/>
        <v>1.1389036265381765</v>
      </c>
      <c r="M71" s="177">
        <f t="shared" si="15"/>
        <v>4.9893612855230265E-2</v>
      </c>
      <c r="N71" s="176">
        <f t="shared" si="16"/>
        <v>0.96239091073687844</v>
      </c>
      <c r="O71" s="302">
        <f t="shared" si="17"/>
        <v>17.783692202969078</v>
      </c>
      <c r="P71" s="263" t="s">
        <v>155</v>
      </c>
    </row>
    <row r="72" spans="1:16" ht="15.75" x14ac:dyDescent="0.25">
      <c r="A72" s="170" t="s">
        <v>77</v>
      </c>
      <c r="B72" s="200">
        <v>6</v>
      </c>
      <c r="C72" s="200"/>
      <c r="D72" s="200" t="s">
        <v>14</v>
      </c>
      <c r="E72" s="200" t="s">
        <v>44</v>
      </c>
      <c r="F72" s="201">
        <v>2588495.466</v>
      </c>
      <c r="G72" s="300">
        <v>115786.5554</v>
      </c>
      <c r="H72" s="259">
        <v>125720</v>
      </c>
      <c r="I72" s="301">
        <v>7692.42</v>
      </c>
      <c r="J72" s="261">
        <f t="shared" si="12"/>
        <v>2472708.9106000001</v>
      </c>
      <c r="K72" s="175">
        <f t="shared" si="13"/>
        <v>19.66838140789055</v>
      </c>
      <c r="L72" s="176">
        <f t="shared" si="14"/>
        <v>1.1849859020216058</v>
      </c>
      <c r="M72" s="177">
        <f t="shared" si="15"/>
        <v>4.473121816161605E-2</v>
      </c>
      <c r="N72" s="176">
        <f t="shared" si="16"/>
        <v>0.94678844457834477</v>
      </c>
      <c r="O72" s="302">
        <f t="shared" si="17"/>
        <v>16.34336138692375</v>
      </c>
      <c r="P72" s="263" t="s">
        <v>155</v>
      </c>
    </row>
    <row r="73" spans="1:16" ht="15" customHeight="1" x14ac:dyDescent="0.25">
      <c r="A73" s="170" t="s">
        <v>77</v>
      </c>
      <c r="B73" s="200">
        <v>6</v>
      </c>
      <c r="C73" s="200"/>
      <c r="D73" s="200" t="s">
        <v>14</v>
      </c>
      <c r="E73" s="200" t="s">
        <v>23</v>
      </c>
      <c r="F73" s="201">
        <v>14091013.109999999</v>
      </c>
      <c r="G73" s="201">
        <v>959728.2058</v>
      </c>
      <c r="H73" s="301">
        <v>916738</v>
      </c>
      <c r="I73" s="301">
        <v>41675.47</v>
      </c>
      <c r="J73" s="261">
        <f t="shared" si="12"/>
        <v>13131284.904199999</v>
      </c>
      <c r="K73" s="175">
        <f t="shared" si="13"/>
        <v>14.323923415632382</v>
      </c>
      <c r="L73" s="176">
        <f t="shared" si="14"/>
        <v>1.0669791244722056</v>
      </c>
      <c r="M73" s="177">
        <f t="shared" si="15"/>
        <v>6.8109240855003361E-2</v>
      </c>
      <c r="N73" s="176">
        <f t="shared" si="16"/>
        <v>0.98847809339943005</v>
      </c>
      <c r="O73" s="302">
        <f t="shared" si="17"/>
        <v>21.997064460220844</v>
      </c>
      <c r="P73" s="263" t="s">
        <v>155</v>
      </c>
    </row>
    <row r="74" spans="1:16" ht="24.75" customHeight="1" thickBot="1" x14ac:dyDescent="0.45">
      <c r="A74" s="423" t="s">
        <v>144</v>
      </c>
      <c r="B74" s="423"/>
      <c r="C74" s="423"/>
      <c r="D74" s="423"/>
      <c r="E74" s="423"/>
      <c r="F74" s="423"/>
      <c r="G74" s="423"/>
      <c r="H74" s="423"/>
      <c r="I74" s="423"/>
      <c r="J74" s="423"/>
      <c r="K74" s="423"/>
      <c r="L74" s="423"/>
      <c r="M74" s="423"/>
      <c r="N74" s="423"/>
      <c r="O74" s="423"/>
      <c r="P74" s="423"/>
    </row>
    <row r="75" spans="1:16" x14ac:dyDescent="0.25">
      <c r="A75" s="161" t="s">
        <v>77</v>
      </c>
      <c r="B75" s="162">
        <v>67</v>
      </c>
      <c r="C75" s="162"/>
      <c r="D75" s="162" t="s">
        <v>14</v>
      </c>
      <c r="E75" s="162" t="s">
        <v>43</v>
      </c>
      <c r="F75" s="255">
        <v>490677.19130000001</v>
      </c>
      <c r="G75" s="255">
        <v>14145.294825999999</v>
      </c>
      <c r="H75" s="309">
        <v>21429</v>
      </c>
      <c r="I75" s="309">
        <v>2036.8600000000001</v>
      </c>
      <c r="J75" s="255">
        <f>+F75-G75</f>
        <v>476531.89647400001</v>
      </c>
      <c r="K75" s="165">
        <f>+J75/H75</f>
        <v>22.237710414578377</v>
      </c>
      <c r="L75" s="167">
        <f>+IF(E75="Weekdays",K75/$G$82,IF(E75="Saturdays",K75/$G$83,IF(E75="Sundays",K75/$G$84,"NA")))</f>
        <v>1.3931962489341934</v>
      </c>
      <c r="M75" s="310">
        <f>G75/F75</f>
        <v>2.8828107515092478E-2</v>
      </c>
      <c r="N75" s="311">
        <f>+IF(E75="Weekdays",M75/$G$88,IF(E75="Saturdays",M75/$G$89,IF(E75="Sundays",M75/$G$90,"NA")))</f>
        <v>0.55606132846645828</v>
      </c>
      <c r="O75" s="312">
        <f>+H75/I75</f>
        <v>10.520605245328593</v>
      </c>
      <c r="P75" s="257"/>
    </row>
    <row r="76" spans="1:16" x14ac:dyDescent="0.25">
      <c r="A76" s="170" t="s">
        <v>77</v>
      </c>
      <c r="B76" s="172">
        <v>67</v>
      </c>
      <c r="C76" s="172"/>
      <c r="D76" s="172" t="s">
        <v>14</v>
      </c>
      <c r="E76" s="172" t="s">
        <v>44</v>
      </c>
      <c r="F76" s="261">
        <v>496163.46179999999</v>
      </c>
      <c r="G76" s="261">
        <v>12069.520524</v>
      </c>
      <c r="H76" s="313">
        <v>19296</v>
      </c>
      <c r="I76" s="313">
        <v>2017.7</v>
      </c>
      <c r="J76" s="261">
        <f>+F76-G76</f>
        <v>484093.941276</v>
      </c>
      <c r="K76" s="175">
        <f>+J76/H76</f>
        <v>25.087787172263681</v>
      </c>
      <c r="L76" s="177">
        <f>+IF(E76="Weekdays",K76/$G$82,IF(E76="Saturdays",K76/$G$83,IF(E76="Sundays",K76/$G$84,"NA")))</f>
        <v>1.5114957095617649</v>
      </c>
      <c r="M76" s="314">
        <f>G76/F76</f>
        <v>2.432569395620901E-2</v>
      </c>
      <c r="N76" s="315">
        <f>+IF(E76="Weekdays",M76/$G$88,IF(E76="Saturdays",M76/$G$89,IF(E76="Sundays",M76/$G$90,"NA")))</f>
        <v>0.51488170657179111</v>
      </c>
      <c r="O76" s="316">
        <f>+H76/I76</f>
        <v>9.5633642265946364</v>
      </c>
      <c r="P76" s="263"/>
    </row>
    <row r="77" spans="1:16" ht="15" customHeight="1" x14ac:dyDescent="0.25">
      <c r="A77" s="170" t="s">
        <v>77</v>
      </c>
      <c r="B77" s="172">
        <v>67</v>
      </c>
      <c r="C77" s="172"/>
      <c r="D77" s="172" t="s">
        <v>14</v>
      </c>
      <c r="E77" s="172" t="s">
        <v>23</v>
      </c>
      <c r="F77" s="261">
        <v>3014723.6159999999</v>
      </c>
      <c r="G77" s="261">
        <v>132686.00185</v>
      </c>
      <c r="H77" s="313">
        <v>162803</v>
      </c>
      <c r="I77" s="313">
        <v>12438.930000000009</v>
      </c>
      <c r="J77" s="261">
        <f>+F77-G77</f>
        <v>2882037.6141499998</v>
      </c>
      <c r="K77" s="175">
        <f>+J77/H77</f>
        <v>17.702607532723597</v>
      </c>
      <c r="L77" s="177">
        <f>+IF(E77="Weekdays",K77/$G$82,IF(E77="Saturdays",K77/$G$83,IF(E77="Sundays",K77/$G$84,"NA")))</f>
        <v>1.3186549619168428</v>
      </c>
      <c r="M77" s="314">
        <f>G77/F77</f>
        <v>4.4012658787624004E-2</v>
      </c>
      <c r="N77" s="315">
        <f>+IF(E77="Weekdays",M77/$G$88,IF(E77="Saturdays",M77/$G$89,IF(E77="Sundays",M77/$G$90,"NA")))</f>
        <v>0.63876132662304208</v>
      </c>
      <c r="O77" s="316">
        <f>+H77/I77</f>
        <v>13.088183629942437</v>
      </c>
      <c r="P77" s="263"/>
    </row>
    <row r="78" spans="1:16" ht="15.75" customHeight="1" thickBot="1" x14ac:dyDescent="0.3">
      <c r="A78" s="182" t="s">
        <v>77</v>
      </c>
      <c r="B78" s="184">
        <v>61</v>
      </c>
      <c r="C78" s="184"/>
      <c r="D78" s="184" t="s">
        <v>14</v>
      </c>
      <c r="E78" s="184" t="s">
        <v>44</v>
      </c>
      <c r="F78" s="268">
        <v>395779.39850000001</v>
      </c>
      <c r="G78" s="268">
        <v>12006.06184</v>
      </c>
      <c r="H78" s="317">
        <v>16919</v>
      </c>
      <c r="I78" s="317">
        <v>1219.74</v>
      </c>
      <c r="J78" s="268">
        <f>+F78-G78</f>
        <v>383773.33666000003</v>
      </c>
      <c r="K78" s="187">
        <f>+J78/H78</f>
        <v>22.682979884153912</v>
      </c>
      <c r="L78" s="189">
        <f>+IF(E78="Weekdays",K78/$G$82,IF(E78="Saturdays",K78/$G$83,IF(E78="Sundays",K78/$G$84,"NA")))</f>
        <v>1.3666102370670299</v>
      </c>
      <c r="M78" s="318">
        <f>G78/F78</f>
        <v>3.0335236966610328E-2</v>
      </c>
      <c r="N78" s="244">
        <f>+IF(E78="Weekdays",M78/$G$88,IF(E78="Saturdays",M78/$G$89,IF(E78="Sundays",M78/$G$90,"NA")))</f>
        <v>0.64208069898212816</v>
      </c>
      <c r="O78" s="319">
        <f>+H78/I78</f>
        <v>13.870988899273616</v>
      </c>
      <c r="P78" s="270"/>
    </row>
    <row r="80" spans="1:16" ht="15.75" thickBot="1" x14ac:dyDescent="0.3">
      <c r="E80" s="320" t="s">
        <v>70</v>
      </c>
      <c r="F80" s="303"/>
      <c r="G80" s="303"/>
      <c r="H80" s="303"/>
      <c r="I80" s="303"/>
      <c r="J80" s="303"/>
      <c r="K80" s="303"/>
    </row>
    <row r="81" spans="5:11" ht="36" x14ac:dyDescent="0.25">
      <c r="E81" s="206" t="s">
        <v>41</v>
      </c>
      <c r="F81" s="272" t="s">
        <v>33</v>
      </c>
      <c r="G81" s="273" t="s">
        <v>34</v>
      </c>
      <c r="H81" s="273" t="s">
        <v>35</v>
      </c>
      <c r="I81" s="273" t="s">
        <v>36</v>
      </c>
      <c r="J81" s="274" t="s">
        <v>37</v>
      </c>
      <c r="K81" s="209" t="s">
        <v>40</v>
      </c>
    </row>
    <row r="82" spans="5:11" x14ac:dyDescent="0.25">
      <c r="E82" s="210">
        <f>COUNTIF(E3:E78, "Weekdays")</f>
        <v>26</v>
      </c>
      <c r="F82" s="217" t="s">
        <v>23</v>
      </c>
      <c r="G82" s="218">
        <f>AVERAGEIF($E$3:$E$78,"Weekdays",K3:K78)</f>
        <v>13.424745702234699</v>
      </c>
      <c r="H82" s="219">
        <f>G82*1.2</f>
        <v>16.109694842681638</v>
      </c>
      <c r="I82" s="220">
        <f>G82*1.35</f>
        <v>18.123406698016844</v>
      </c>
      <c r="J82" s="221">
        <f>G82*1.6</f>
        <v>21.479593123575519</v>
      </c>
      <c r="K82" s="216">
        <f>+SUMIF($E$3:$E$78,"Weekdays",$J$3:$J$78)/SUMIF($E$3:$E$78,"Weekdays",$H$3:$H$78)</f>
        <v>11.972325511778941</v>
      </c>
    </row>
    <row r="83" spans="5:11" x14ac:dyDescent="0.25">
      <c r="E83" s="210">
        <f>COUNTIF(E3:E78, "Saturdays")</f>
        <v>24</v>
      </c>
      <c r="F83" s="217" t="s">
        <v>43</v>
      </c>
      <c r="G83" s="218">
        <f>AVERAGEIF($E$3:$E$78,"Saturdays",K3:K78)</f>
        <v>15.961649646695797</v>
      </c>
      <c r="H83" s="219">
        <f>G83*1.2</f>
        <v>19.153979576034956</v>
      </c>
      <c r="I83" s="220">
        <f>G83*1.35</f>
        <v>21.548227023039328</v>
      </c>
      <c r="J83" s="221">
        <f>G83*1.6</f>
        <v>25.538639434713275</v>
      </c>
      <c r="K83" s="216">
        <f>+SUMIF($E$3:$E$78,"Saturdays",$J$3:$J$78)/SUMIF($E$3:$E$78,"Saturdays",$H$3:$H$78)</f>
        <v>14.198586248096046</v>
      </c>
    </row>
    <row r="84" spans="5:11" ht="15.75" thickBot="1" x14ac:dyDescent="0.3">
      <c r="E84" s="222">
        <f>COUNTIF(E4:E78, "Sundays")</f>
        <v>24</v>
      </c>
      <c r="F84" s="217" t="s">
        <v>44</v>
      </c>
      <c r="G84" s="321">
        <f>AVERAGEIF($E$3:$E$78,"Sundays",K3:K78)</f>
        <v>16.597987684356379</v>
      </c>
      <c r="H84" s="219">
        <f>G84*1.2</f>
        <v>19.917585221227654</v>
      </c>
      <c r="I84" s="220">
        <f>G84*1.35</f>
        <v>22.407283373881114</v>
      </c>
      <c r="J84" s="221">
        <f>G84*1.6</f>
        <v>26.55678029497021</v>
      </c>
      <c r="K84" s="232">
        <f>+SUMIF($E$3:$E$78,"Sundays",$J$3:$J$78)/SUMIF($E$3:$E$78,"Sundays",$H$3:$H$78)</f>
        <v>14.715188088938248</v>
      </c>
    </row>
    <row r="85" spans="5:11" ht="15.75" thickBot="1" x14ac:dyDescent="0.3">
      <c r="E85" s="242"/>
      <c r="F85" s="228" t="s">
        <v>87</v>
      </c>
      <c r="G85" s="229">
        <v>20</v>
      </c>
      <c r="H85" s="230"/>
      <c r="I85" s="230"/>
      <c r="J85" s="231"/>
      <c r="K85" s="232">
        <f>+SUM($J$3:$J$78)/SUM($H$3:$H$78)</f>
        <v>12.472656726533126</v>
      </c>
    </row>
    <row r="86" spans="5:11" ht="15.75" thickBot="1" x14ac:dyDescent="0.3">
      <c r="E86" s="320" t="s">
        <v>69</v>
      </c>
      <c r="F86" s="303"/>
      <c r="G86" s="303"/>
      <c r="H86" s="303"/>
      <c r="I86" s="303"/>
      <c r="J86" s="303"/>
      <c r="K86" s="303"/>
    </row>
    <row r="87" spans="5:11" ht="36" x14ac:dyDescent="0.25">
      <c r="E87" s="206" t="s">
        <v>41</v>
      </c>
      <c r="F87" s="206" t="s">
        <v>33</v>
      </c>
      <c r="G87" s="207" t="s">
        <v>34</v>
      </c>
      <c r="H87" s="207" t="s">
        <v>35</v>
      </c>
      <c r="I87" s="207" t="s">
        <v>36</v>
      </c>
      <c r="J87" s="208" t="s">
        <v>37</v>
      </c>
      <c r="K87" s="209" t="s">
        <v>123</v>
      </c>
    </row>
    <row r="88" spans="5:11" x14ac:dyDescent="0.25">
      <c r="E88" s="210">
        <f>COUNTIF(E3:E78, "Weekdays")</f>
        <v>26</v>
      </c>
      <c r="F88" s="211" t="s">
        <v>23</v>
      </c>
      <c r="G88" s="233">
        <f>AVERAGEIF($E$3:$E$78,"Weekdays",$M$3:$M$78)</f>
        <v>6.890313635659033E-2</v>
      </c>
      <c r="H88" s="234">
        <f>G88*0.8</f>
        <v>5.5122509085272269E-2</v>
      </c>
      <c r="I88" s="235">
        <f>G88*0.65</f>
        <v>4.4787038631783717E-2</v>
      </c>
      <c r="J88" s="236">
        <f>G88*0.4</f>
        <v>2.7561254542636134E-2</v>
      </c>
      <c r="K88" s="237">
        <f>+SUMIF($E$3:$E$78,"Weekdays",$G$3:$G$78)/SUMIF($E$3:$E$78,"Weekdays",$F$3:$F$78)</f>
        <v>7.2802670273214229E-2</v>
      </c>
    </row>
    <row r="89" spans="5:11" x14ac:dyDescent="0.25">
      <c r="E89" s="210">
        <f>COUNTIF(E3:E78, "Saturdays")</f>
        <v>24</v>
      </c>
      <c r="F89" s="217" t="s">
        <v>43</v>
      </c>
      <c r="G89" s="238">
        <f>AVERAGEIF($E$3:$E$78,"Saturdays",$M$3:$M$78)</f>
        <v>5.1843395753839762E-2</v>
      </c>
      <c r="H89" s="239">
        <f>G89*0.8</f>
        <v>4.147471660307181E-2</v>
      </c>
      <c r="I89" s="240">
        <f>G89*0.65</f>
        <v>3.3698207239995843E-2</v>
      </c>
      <c r="J89" s="241">
        <f>G89*0.4</f>
        <v>2.0737358301535905E-2</v>
      </c>
      <c r="K89" s="237">
        <f>+SUMIF($E$3:$E$78,"Saturdays",$G$3:$G$78)/SUMIF($E$3:$E$78,"Saturdays",$F$3:$F$78)</f>
        <v>5.574423470858296E-2</v>
      </c>
    </row>
    <row r="90" spans="5:11" ht="15.75" thickBot="1" x14ac:dyDescent="0.3">
      <c r="E90" s="222">
        <f>COUNTIF(E3:E78, "Sundays")</f>
        <v>24</v>
      </c>
      <c r="F90" s="243" t="s">
        <v>44</v>
      </c>
      <c r="G90" s="446">
        <f>AVERAGEIF($E$3:$E$78,"Sundays",$M$3:$M$78)</f>
        <v>4.7245209231020178E-2</v>
      </c>
      <c r="H90" s="245">
        <f>G90*0.8</f>
        <v>3.7796167384816143E-2</v>
      </c>
      <c r="I90" s="246">
        <f>G90*0.65</f>
        <v>3.0709386000163118E-2</v>
      </c>
      <c r="J90" s="247">
        <f>G90*0.4</f>
        <v>1.8898083692408071E-2</v>
      </c>
      <c r="K90" s="248">
        <f>+SUMIF($E$3:$E$78,"Sundays",$G$3:$G$78)/SUMIF($E$3:$E$78,"Sundays",$F$3:$F$78)</f>
        <v>5.1810061991947653E-2</v>
      </c>
    </row>
  </sheetData>
  <autoFilter ref="A2:P78" xr:uid="{C9060C47-4874-4271-BE45-136EFC5E64B8}"/>
  <sortState xmlns:xlrd2="http://schemas.microsoft.com/office/spreadsheetml/2017/richdata2" ref="A3:P56">
    <sortCondition ref="E3:E56" customList="Weekday,Wk,Saturday,Sat,Sunday,Sun,Sunday/Holiday,Sunday / Holiday,Reduced"/>
    <sortCondition ref="B3:B56"/>
  </sortState>
  <phoneticPr fontId="8" type="noConversion"/>
  <conditionalFormatting sqref="L3:L66 L68:L73 L75:L78">
    <cfRule type="cellIs" dxfId="64" priority="7" operator="between">
      <formula>1.35</formula>
      <formula>1.6</formula>
    </cfRule>
    <cfRule type="cellIs" dxfId="63" priority="24" operator="between">
      <formula>1.2</formula>
      <formula>1.35</formula>
    </cfRule>
  </conditionalFormatting>
  <conditionalFormatting sqref="L4:L66 L68:L73 L75:L78">
    <cfRule type="cellIs" dxfId="62" priority="22" operator="greaterThan">
      <formula>1.6</formula>
    </cfRule>
  </conditionalFormatting>
  <conditionalFormatting sqref="N3:N66 N68:N73 N75:N78">
    <cfRule type="cellIs" dxfId="61" priority="10" operator="lessThan">
      <formula>0.4</formula>
    </cfRule>
    <cfRule type="cellIs" dxfId="60" priority="11" operator="between">
      <formula>0.65</formula>
      <formula>0.4</formula>
    </cfRule>
    <cfRule type="cellIs" dxfId="59" priority="12" operator="between">
      <formula>0.8</formula>
      <formula>0.65</formula>
    </cfRule>
  </conditionalFormatting>
  <conditionalFormatting sqref="O3:O66 O68:O73 O75:O78">
    <cfRule type="cellIs" dxfId="58" priority="9" operator="lessThan">
      <formula>20</formula>
    </cfRule>
  </conditionalFormatting>
  <dataValidations count="3">
    <dataValidation type="whole" allowBlank="1" showInputMessage="1" showErrorMessage="1" promptTitle="Passenger Trips" prompt="Please input the whole number of unlinked passenger trips" sqref="H68:H73 H3:H40" xr:uid="{01C94941-B77D-4684-ADC1-08B6406ACFD4}">
      <formula1>0</formula1>
      <formula2>100000000</formula2>
    </dataValidation>
    <dataValidation type="textLength" allowBlank="1" showInputMessage="1" showErrorMessage="1" promptTitle="Route Name" prompt="Enter route name if applicable. Leave blank if not. This applies to METRO system lines, Northstar, Metro Mobility, and others. Examples include &quot;A Line&quot;, &quot;Orange Line&quot;, &quot;Green Line&quot;, or &quot;State Fair&quot;." sqref="C68:C73 C3:C36" xr:uid="{D41E0C07-6C03-4604-91C5-3FC1EDB26ECF}">
      <formula1>0</formula1>
      <formula2>20</formula2>
    </dataValidation>
    <dataValidation type="whole" allowBlank="1" showInputMessage="1" showErrorMessage="1" promptTitle="Route Number" prompt="Please enter the route's number ID. This is typically a whole number up to three digits such as '74&quot; or '446'." sqref="B68:B73 B3:B36" xr:uid="{7C5B62A7-1BE8-4976-883E-3356F10CDEF2}">
      <formula1>0</formula1>
      <formula2>1000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12A5D-51DF-447F-A92C-EE50EFD3A187}">
  <dimension ref="A1:T73"/>
  <sheetViews>
    <sheetView zoomScale="90" zoomScaleNormal="90" workbookViewId="0">
      <pane ySplit="2" topLeftCell="A3" activePane="bottomLeft" state="frozen"/>
      <selection pane="bottomLeft" activeCell="P24" sqref="P24"/>
    </sheetView>
  </sheetViews>
  <sheetFormatPr defaultRowHeight="15" x14ac:dyDescent="0.25"/>
  <cols>
    <col min="1" max="1" width="20.7109375" customWidth="1"/>
    <col min="2" max="3" width="10.7109375" customWidth="1"/>
    <col min="4" max="4" width="20.7109375" customWidth="1"/>
    <col min="5" max="5" width="10.7109375" customWidth="1"/>
    <col min="6" max="6" width="15.42578125" customWidth="1"/>
    <col min="7" max="7" width="15.140625" bestFit="1" customWidth="1"/>
    <col min="8" max="8" width="13.7109375" customWidth="1"/>
    <col min="9" max="9" width="15.42578125" customWidth="1"/>
    <col min="10" max="10" width="12.28515625" customWidth="1"/>
    <col min="11" max="11" width="14" customWidth="1"/>
    <col min="12" max="14" width="14.140625" customWidth="1"/>
    <col min="15" max="15" width="12.140625" customWidth="1"/>
    <col min="16" max="16" width="35.7109375" customWidth="1"/>
    <col min="17" max="17" width="14.7109375" bestFit="1" customWidth="1"/>
    <col min="18" max="18" width="16.42578125" bestFit="1" customWidth="1"/>
    <col min="19" max="19" width="20.85546875" bestFit="1" customWidth="1"/>
    <col min="20" max="20" width="26.7109375" bestFit="1" customWidth="1"/>
    <col min="21" max="21" width="19.7109375" bestFit="1" customWidth="1"/>
  </cols>
  <sheetData>
    <row r="1" spans="1:20" ht="37.5" customHeight="1" thickBot="1" x14ac:dyDescent="0.75">
      <c r="A1" s="17" t="s">
        <v>80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20" ht="57" customHeight="1" thickBot="1" x14ac:dyDescent="0.3">
      <c r="A2" s="152" t="s">
        <v>7</v>
      </c>
      <c r="B2" s="153" t="s">
        <v>49</v>
      </c>
      <c r="C2" s="153" t="s">
        <v>50</v>
      </c>
      <c r="D2" s="154" t="s">
        <v>0</v>
      </c>
      <c r="E2" s="154" t="s">
        <v>1</v>
      </c>
      <c r="F2" s="155" t="s">
        <v>2</v>
      </c>
      <c r="G2" s="155" t="s">
        <v>27</v>
      </c>
      <c r="H2" s="155" t="s">
        <v>29</v>
      </c>
      <c r="I2" s="156" t="s">
        <v>42</v>
      </c>
      <c r="J2" s="156" t="s">
        <v>28</v>
      </c>
      <c r="K2" s="157" t="s">
        <v>11</v>
      </c>
      <c r="L2" s="158" t="s">
        <v>47</v>
      </c>
      <c r="M2" s="159" t="s">
        <v>69</v>
      </c>
      <c r="N2" s="159" t="s">
        <v>71</v>
      </c>
      <c r="O2" s="158" t="s">
        <v>31</v>
      </c>
      <c r="P2" s="160" t="s">
        <v>32</v>
      </c>
    </row>
    <row r="3" spans="1:20" x14ac:dyDescent="0.25">
      <c r="A3" s="161" t="s">
        <v>77</v>
      </c>
      <c r="B3" s="250">
        <v>5</v>
      </c>
      <c r="C3" s="250"/>
      <c r="D3" s="250" t="s">
        <v>15</v>
      </c>
      <c r="E3" s="250" t="s">
        <v>23</v>
      </c>
      <c r="F3" s="251">
        <v>3877293.77</v>
      </c>
      <c r="G3" s="251">
        <v>174954.9258</v>
      </c>
      <c r="H3" s="294">
        <v>232641</v>
      </c>
      <c r="I3" s="254">
        <v>10487.39</v>
      </c>
      <c r="J3" s="255">
        <f t="shared" ref="J3:J34" si="0">+F3-G3</f>
        <v>3702338.8442000002</v>
      </c>
      <c r="K3" s="165">
        <f t="shared" ref="K3:K34" si="1">+J3/H3</f>
        <v>15.914386734066653</v>
      </c>
      <c r="L3" s="322">
        <f t="shared" ref="L3:L34" si="2">+IF(E3="Weekdays",K3/$G$49,IF(E3="Saturdays",K3/$G$50,IF(E3="Sundays",K3/$G$51,"NA")))</f>
        <v>0.80549994548651382</v>
      </c>
      <c r="M3" s="167">
        <f t="shared" ref="M3:M34" si="3">G3/F3</f>
        <v>4.5122948163920013E-2</v>
      </c>
      <c r="N3" s="166">
        <f t="shared" ref="N3:N34" si="4">+IF(E3="Weekdays",M3/$G$55,IF(E3="Saturdays",M3/$G$56,IF(E3="Sundays",M3/$G$57,"NA")))</f>
        <v>0.78028162851864435</v>
      </c>
      <c r="O3" s="323">
        <f t="shared" ref="O3:O34" si="5">+H3/I3</f>
        <v>22.182926352505248</v>
      </c>
      <c r="P3" s="285"/>
    </row>
    <row r="4" spans="1:20" x14ac:dyDescent="0.25">
      <c r="A4" s="170" t="s">
        <v>77</v>
      </c>
      <c r="B4" s="200">
        <v>5</v>
      </c>
      <c r="C4" s="200"/>
      <c r="D4" s="200" t="s">
        <v>15</v>
      </c>
      <c r="E4" s="200" t="s">
        <v>43</v>
      </c>
      <c r="F4" s="202">
        <v>749240.38879999996</v>
      </c>
      <c r="G4" s="202">
        <v>20803.60716</v>
      </c>
      <c r="H4" s="301">
        <v>29233</v>
      </c>
      <c r="I4" s="260">
        <v>2019.99</v>
      </c>
      <c r="J4" s="261">
        <f t="shared" si="0"/>
        <v>728436.78163999994</v>
      </c>
      <c r="K4" s="175">
        <f t="shared" si="1"/>
        <v>24.918304027639994</v>
      </c>
      <c r="L4" s="324">
        <f t="shared" si="2"/>
        <v>0.97367668855475431</v>
      </c>
      <c r="M4" s="177">
        <f t="shared" si="3"/>
        <v>2.7766264967802282E-2</v>
      </c>
      <c r="N4" s="176">
        <f t="shared" si="4"/>
        <v>0.75718937814292742</v>
      </c>
      <c r="O4" s="302">
        <f t="shared" si="5"/>
        <v>14.47185382105852</v>
      </c>
      <c r="P4" s="196"/>
    </row>
    <row r="5" spans="1:20" x14ac:dyDescent="0.25">
      <c r="A5" s="170" t="s">
        <v>77</v>
      </c>
      <c r="B5" s="200">
        <v>5</v>
      </c>
      <c r="C5" s="200"/>
      <c r="D5" s="200" t="s">
        <v>15</v>
      </c>
      <c r="E5" s="200" t="s">
        <v>44</v>
      </c>
      <c r="F5" s="202">
        <v>828938.58570000005</v>
      </c>
      <c r="G5" s="202">
        <v>20581.335520000001</v>
      </c>
      <c r="H5" s="301">
        <v>30284</v>
      </c>
      <c r="I5" s="260">
        <v>2194.14</v>
      </c>
      <c r="J5" s="261">
        <f t="shared" si="0"/>
        <v>808357.25018000009</v>
      </c>
      <c r="K5" s="175">
        <f t="shared" si="1"/>
        <v>26.692552178708233</v>
      </c>
      <c r="L5" s="324">
        <f t="shared" si="2"/>
        <v>0.97455482242246949</v>
      </c>
      <c r="M5" s="177">
        <f t="shared" si="3"/>
        <v>2.4828540829258203E-2</v>
      </c>
      <c r="N5" s="176">
        <f t="shared" si="4"/>
        <v>0.71986840264172935</v>
      </c>
      <c r="O5" s="302">
        <f t="shared" si="5"/>
        <v>13.802218636914692</v>
      </c>
      <c r="P5" s="196"/>
    </row>
    <row r="6" spans="1:20" x14ac:dyDescent="0.25">
      <c r="A6" s="170" t="s">
        <v>77</v>
      </c>
      <c r="B6" s="200">
        <v>23</v>
      </c>
      <c r="C6" s="200"/>
      <c r="D6" s="200" t="s">
        <v>15</v>
      </c>
      <c r="E6" s="200" t="s">
        <v>23</v>
      </c>
      <c r="F6" s="202">
        <v>1761915.196</v>
      </c>
      <c r="G6" s="202">
        <v>86748.717329999999</v>
      </c>
      <c r="H6" s="301">
        <v>73380</v>
      </c>
      <c r="I6" s="260">
        <v>4843</v>
      </c>
      <c r="J6" s="261">
        <f t="shared" si="0"/>
        <v>1675166.4786700001</v>
      </c>
      <c r="K6" s="175">
        <f t="shared" si="1"/>
        <v>22.828651930635051</v>
      </c>
      <c r="L6" s="324">
        <f t="shared" si="2"/>
        <v>1.15546255051691</v>
      </c>
      <c r="M6" s="177">
        <f t="shared" si="3"/>
        <v>4.9235466909498177E-2</v>
      </c>
      <c r="N6" s="176">
        <f t="shared" si="4"/>
        <v>0.85139672526400767</v>
      </c>
      <c r="O6" s="302">
        <f t="shared" si="5"/>
        <v>15.151765434647945</v>
      </c>
      <c r="P6" s="263"/>
    </row>
    <row r="7" spans="1:20" x14ac:dyDescent="0.25">
      <c r="A7" s="170" t="s">
        <v>77</v>
      </c>
      <c r="B7" s="200">
        <v>23</v>
      </c>
      <c r="C7" s="200"/>
      <c r="D7" s="200" t="s">
        <v>15</v>
      </c>
      <c r="E7" s="200" t="s">
        <v>43</v>
      </c>
      <c r="F7" s="202">
        <v>274867.95559999999</v>
      </c>
      <c r="G7" s="202">
        <v>9944.5348300000005</v>
      </c>
      <c r="H7" s="301">
        <v>9195</v>
      </c>
      <c r="I7" s="260">
        <v>727.95</v>
      </c>
      <c r="J7" s="261">
        <f t="shared" si="0"/>
        <v>264923.42076999997</v>
      </c>
      <c r="K7" s="175">
        <f t="shared" si="1"/>
        <v>28.811682519847739</v>
      </c>
      <c r="L7" s="324">
        <f t="shared" si="2"/>
        <v>1.1258095092065206</v>
      </c>
      <c r="M7" s="177">
        <f t="shared" si="3"/>
        <v>3.6179316749718644E-2</v>
      </c>
      <c r="N7" s="176">
        <f t="shared" si="4"/>
        <v>0.98661430995930455</v>
      </c>
      <c r="O7" s="302">
        <f t="shared" si="5"/>
        <v>12.631362044096434</v>
      </c>
      <c r="P7" s="196"/>
    </row>
    <row r="8" spans="1:20" x14ac:dyDescent="0.25">
      <c r="A8" s="170" t="s">
        <v>77</v>
      </c>
      <c r="B8" s="200">
        <v>23</v>
      </c>
      <c r="C8" s="200"/>
      <c r="D8" s="200" t="s">
        <v>15</v>
      </c>
      <c r="E8" s="200" t="s">
        <v>44</v>
      </c>
      <c r="F8" s="202">
        <v>220290.12239999999</v>
      </c>
      <c r="G8" s="202">
        <v>6569.7387580000004</v>
      </c>
      <c r="H8" s="301">
        <v>6268</v>
      </c>
      <c r="I8" s="260">
        <v>512.75</v>
      </c>
      <c r="J8" s="261">
        <f t="shared" si="0"/>
        <v>213720.383642</v>
      </c>
      <c r="K8" s="175">
        <f t="shared" si="1"/>
        <v>34.097061844607531</v>
      </c>
      <c r="L8" s="324">
        <f t="shared" si="2"/>
        <v>1.2448961728584909</v>
      </c>
      <c r="M8" s="177">
        <f t="shared" si="3"/>
        <v>2.9823120012937996E-2</v>
      </c>
      <c r="N8" s="176">
        <f t="shared" si="4"/>
        <v>0.86467915747216639</v>
      </c>
      <c r="O8" s="302">
        <f t="shared" si="5"/>
        <v>12.224280838615309</v>
      </c>
      <c r="P8" s="180"/>
      <c r="Q8" s="2"/>
      <c r="S8" s="2"/>
      <c r="T8" s="2"/>
    </row>
    <row r="9" spans="1:20" x14ac:dyDescent="0.25">
      <c r="A9" s="170" t="s">
        <v>77</v>
      </c>
      <c r="B9" s="200">
        <v>30</v>
      </c>
      <c r="C9" s="200"/>
      <c r="D9" s="200" t="s">
        <v>15</v>
      </c>
      <c r="E9" s="200" t="s">
        <v>23</v>
      </c>
      <c r="F9" s="202">
        <v>1457026</v>
      </c>
      <c r="G9" s="202">
        <v>90261</v>
      </c>
      <c r="H9" s="301">
        <v>134646</v>
      </c>
      <c r="I9" s="260">
        <v>9852.4399999999987</v>
      </c>
      <c r="J9" s="261">
        <f t="shared" si="0"/>
        <v>1366765</v>
      </c>
      <c r="K9" s="175">
        <f t="shared" si="1"/>
        <v>10.150802845981314</v>
      </c>
      <c r="L9" s="324">
        <f t="shared" si="2"/>
        <v>0.51377858762094686</v>
      </c>
      <c r="M9" s="177">
        <f t="shared" si="3"/>
        <v>6.1948791579560007E-2</v>
      </c>
      <c r="N9" s="176">
        <f t="shared" si="4"/>
        <v>1.0712399332344931</v>
      </c>
      <c r="O9" s="302">
        <f t="shared" si="5"/>
        <v>13.666259322563752</v>
      </c>
      <c r="P9" s="196"/>
      <c r="Q9" s="5"/>
    </row>
    <row r="10" spans="1:20" s="96" customFormat="1" x14ac:dyDescent="0.25">
      <c r="A10" s="170" t="s">
        <v>77</v>
      </c>
      <c r="B10" s="200">
        <v>30</v>
      </c>
      <c r="C10" s="200"/>
      <c r="D10" s="200" t="s">
        <v>15</v>
      </c>
      <c r="E10" s="200" t="s">
        <v>43</v>
      </c>
      <c r="F10" s="202">
        <v>222164</v>
      </c>
      <c r="G10" s="202">
        <v>9923</v>
      </c>
      <c r="H10" s="301">
        <v>16505</v>
      </c>
      <c r="I10" s="260">
        <v>1622.94</v>
      </c>
      <c r="J10" s="261">
        <f t="shared" si="0"/>
        <v>212241</v>
      </c>
      <c r="K10" s="175">
        <f t="shared" si="1"/>
        <v>12.859194183580733</v>
      </c>
      <c r="L10" s="324">
        <f t="shared" si="2"/>
        <v>0.50246989507244078</v>
      </c>
      <c r="M10" s="177">
        <f t="shared" si="3"/>
        <v>4.4665202282998147E-2</v>
      </c>
      <c r="N10" s="176">
        <f t="shared" si="4"/>
        <v>1.2180254269167665</v>
      </c>
      <c r="O10" s="302">
        <f t="shared" si="5"/>
        <v>10.169815273515965</v>
      </c>
      <c r="P10" s="180"/>
    </row>
    <row r="11" spans="1:20" s="96" customFormat="1" x14ac:dyDescent="0.25">
      <c r="A11" s="170" t="s">
        <v>77</v>
      </c>
      <c r="B11" s="200">
        <v>30</v>
      </c>
      <c r="C11" s="200"/>
      <c r="D11" s="200" t="s">
        <v>15</v>
      </c>
      <c r="E11" s="200" t="s">
        <v>44</v>
      </c>
      <c r="F11" s="202">
        <v>238785</v>
      </c>
      <c r="G11" s="202">
        <v>7482</v>
      </c>
      <c r="H11" s="301">
        <v>15829</v>
      </c>
      <c r="I11" s="260">
        <v>1744.05</v>
      </c>
      <c r="J11" s="261">
        <f t="shared" si="0"/>
        <v>231303</v>
      </c>
      <c r="K11" s="175">
        <f t="shared" si="1"/>
        <v>14.612609766883567</v>
      </c>
      <c r="L11" s="324">
        <f t="shared" si="2"/>
        <v>0.53351171597047453</v>
      </c>
      <c r="M11" s="177">
        <f t="shared" si="3"/>
        <v>3.133362648407563E-2</v>
      </c>
      <c r="N11" s="176">
        <f t="shared" si="4"/>
        <v>0.90847415485181426</v>
      </c>
      <c r="O11" s="302">
        <f t="shared" si="5"/>
        <v>9.0760012614317258</v>
      </c>
      <c r="P11" s="196"/>
    </row>
    <row r="12" spans="1:20" s="96" customFormat="1" x14ac:dyDescent="0.25">
      <c r="A12" s="170" t="s">
        <v>77</v>
      </c>
      <c r="B12" s="200">
        <v>32</v>
      </c>
      <c r="C12" s="200"/>
      <c r="D12" s="200" t="s">
        <v>15</v>
      </c>
      <c r="E12" s="200" t="s">
        <v>23</v>
      </c>
      <c r="F12" s="202">
        <v>4561043.1459999997</v>
      </c>
      <c r="G12" s="202">
        <v>248223.12280000001</v>
      </c>
      <c r="H12" s="301">
        <v>337690</v>
      </c>
      <c r="I12" s="260">
        <v>12031.92</v>
      </c>
      <c r="J12" s="261">
        <f t="shared" si="0"/>
        <v>4312820.0231999997</v>
      </c>
      <c r="K12" s="175">
        <f t="shared" si="1"/>
        <v>12.771536092866237</v>
      </c>
      <c r="L12" s="324">
        <f t="shared" si="2"/>
        <v>0.64642589114422055</v>
      </c>
      <c r="M12" s="177">
        <f t="shared" si="3"/>
        <v>5.4422445667432422E-2</v>
      </c>
      <c r="N12" s="176">
        <f t="shared" si="4"/>
        <v>0.94109175621876129</v>
      </c>
      <c r="O12" s="302">
        <f t="shared" si="5"/>
        <v>28.066177301710784</v>
      </c>
      <c r="P12" s="263"/>
    </row>
    <row r="13" spans="1:20" s="96" customFormat="1" x14ac:dyDescent="0.25">
      <c r="A13" s="170" t="s">
        <v>77</v>
      </c>
      <c r="B13" s="200">
        <v>32</v>
      </c>
      <c r="C13" s="200"/>
      <c r="D13" s="200" t="s">
        <v>15</v>
      </c>
      <c r="E13" s="200" t="s">
        <v>43</v>
      </c>
      <c r="F13" s="202">
        <v>750932.74320000003</v>
      </c>
      <c r="G13" s="202">
        <v>37345.028429999998</v>
      </c>
      <c r="H13" s="301">
        <v>54416</v>
      </c>
      <c r="I13" s="260">
        <v>2192.94</v>
      </c>
      <c r="J13" s="261">
        <f t="shared" si="0"/>
        <v>713587.71477000008</v>
      </c>
      <c r="K13" s="175">
        <f t="shared" si="1"/>
        <v>13.113564296714204</v>
      </c>
      <c r="L13" s="324">
        <f t="shared" si="2"/>
        <v>0.512409345572297</v>
      </c>
      <c r="M13" s="177">
        <f t="shared" si="3"/>
        <v>4.9731522254388753E-2</v>
      </c>
      <c r="N13" s="176">
        <f t="shared" si="4"/>
        <v>1.356184580589713</v>
      </c>
      <c r="O13" s="302">
        <f t="shared" si="5"/>
        <v>24.81417640245515</v>
      </c>
      <c r="P13" s="196"/>
    </row>
    <row r="14" spans="1:20" s="96" customFormat="1" x14ac:dyDescent="0.25">
      <c r="A14" s="170" t="s">
        <v>77</v>
      </c>
      <c r="B14" s="200">
        <v>32</v>
      </c>
      <c r="C14" s="200"/>
      <c r="D14" s="200" t="s">
        <v>15</v>
      </c>
      <c r="E14" s="200" t="s">
        <v>44</v>
      </c>
      <c r="F14" s="202">
        <v>777322.96950000001</v>
      </c>
      <c r="G14" s="202">
        <v>31397.989600000001</v>
      </c>
      <c r="H14" s="301">
        <v>45689</v>
      </c>
      <c r="I14" s="260">
        <v>2208.77</v>
      </c>
      <c r="J14" s="261">
        <f t="shared" si="0"/>
        <v>745924.97990000003</v>
      </c>
      <c r="K14" s="175">
        <f t="shared" si="1"/>
        <v>16.326139331130033</v>
      </c>
      <c r="L14" s="324">
        <f t="shared" si="2"/>
        <v>0.59607330577348749</v>
      </c>
      <c r="M14" s="177">
        <f t="shared" si="3"/>
        <v>4.0392463405778727E-2</v>
      </c>
      <c r="N14" s="176">
        <f t="shared" si="4"/>
        <v>1.1711223108374338</v>
      </c>
      <c r="O14" s="302">
        <f t="shared" si="5"/>
        <v>20.685268271481412</v>
      </c>
      <c r="P14" s="325"/>
    </row>
    <row r="15" spans="1:20" s="96" customFormat="1" x14ac:dyDescent="0.25">
      <c r="A15" s="170" t="s">
        <v>77</v>
      </c>
      <c r="B15" s="200">
        <v>33</v>
      </c>
      <c r="C15" s="200"/>
      <c r="D15" s="200" t="s">
        <v>15</v>
      </c>
      <c r="E15" s="200" t="s">
        <v>23</v>
      </c>
      <c r="F15" s="202">
        <v>126051</v>
      </c>
      <c r="G15" s="202">
        <v>9489</v>
      </c>
      <c r="H15" s="301">
        <v>10050</v>
      </c>
      <c r="I15" s="260">
        <v>908.8</v>
      </c>
      <c r="J15" s="261">
        <f t="shared" si="0"/>
        <v>116562</v>
      </c>
      <c r="K15" s="175">
        <f t="shared" si="1"/>
        <v>11.59820895522388</v>
      </c>
      <c r="L15" s="324">
        <f t="shared" si="2"/>
        <v>0.58703843492602814</v>
      </c>
      <c r="M15" s="177">
        <f t="shared" si="3"/>
        <v>7.5279053716352906E-2</v>
      </c>
      <c r="N15" s="176">
        <f t="shared" si="4"/>
        <v>1.3017514372898518</v>
      </c>
      <c r="O15" s="302">
        <f t="shared" si="5"/>
        <v>11.058538732394366</v>
      </c>
      <c r="P15" s="180"/>
    </row>
    <row r="16" spans="1:20" s="96" customFormat="1" x14ac:dyDescent="0.25">
      <c r="A16" s="170" t="s">
        <v>77</v>
      </c>
      <c r="B16" s="200">
        <v>33</v>
      </c>
      <c r="C16" s="200"/>
      <c r="D16" s="200" t="s">
        <v>15</v>
      </c>
      <c r="E16" s="200" t="s">
        <v>43</v>
      </c>
      <c r="F16" s="202">
        <v>13695</v>
      </c>
      <c r="G16" s="202">
        <v>375</v>
      </c>
      <c r="H16" s="301">
        <v>640</v>
      </c>
      <c r="I16" s="260">
        <v>92.8</v>
      </c>
      <c r="J16" s="261">
        <f t="shared" si="0"/>
        <v>13320</v>
      </c>
      <c r="K16" s="175">
        <f t="shared" si="1"/>
        <v>20.8125</v>
      </c>
      <c r="L16" s="324">
        <f t="shared" si="2"/>
        <v>0.813243391607542</v>
      </c>
      <c r="M16" s="177">
        <f t="shared" si="3"/>
        <v>2.7382256297918947E-2</v>
      </c>
      <c r="N16" s="176">
        <f t="shared" si="4"/>
        <v>0.74671741562698846</v>
      </c>
      <c r="O16" s="302">
        <f t="shared" si="5"/>
        <v>6.8965517241379315</v>
      </c>
      <c r="P16" s="196"/>
    </row>
    <row r="17" spans="1:16" s="96" customFormat="1" x14ac:dyDescent="0.25">
      <c r="A17" s="170" t="s">
        <v>77</v>
      </c>
      <c r="B17" s="200">
        <v>38</v>
      </c>
      <c r="C17" s="200"/>
      <c r="D17" s="200" t="s">
        <v>15</v>
      </c>
      <c r="E17" s="200" t="s">
        <v>23</v>
      </c>
      <c r="F17" s="202">
        <v>4831211.1780000003</v>
      </c>
      <c r="G17" s="202">
        <v>54634.707649999997</v>
      </c>
      <c r="H17" s="301">
        <v>224066</v>
      </c>
      <c r="I17" s="260">
        <v>14023.78</v>
      </c>
      <c r="J17" s="261">
        <f t="shared" si="0"/>
        <v>4776576.4703500001</v>
      </c>
      <c r="K17" s="175">
        <f t="shared" si="1"/>
        <v>21.317720985557827</v>
      </c>
      <c r="L17" s="324">
        <f t="shared" si="2"/>
        <v>1.0789874205460932</v>
      </c>
      <c r="M17" s="177">
        <f t="shared" si="3"/>
        <v>1.1308697889007905E-2</v>
      </c>
      <c r="N17" s="176">
        <f t="shared" si="4"/>
        <v>0.19555391578593764</v>
      </c>
      <c r="O17" s="302">
        <f t="shared" si="5"/>
        <v>15.977575232925787</v>
      </c>
      <c r="P17" s="180"/>
    </row>
    <row r="18" spans="1:16" s="96" customFormat="1" x14ac:dyDescent="0.25">
      <c r="A18" s="170" t="s">
        <v>77</v>
      </c>
      <c r="B18" s="200">
        <v>38</v>
      </c>
      <c r="C18" s="200"/>
      <c r="D18" s="200" t="s">
        <v>15</v>
      </c>
      <c r="E18" s="200" t="s">
        <v>43</v>
      </c>
      <c r="F18" s="202">
        <v>858396.05519999994</v>
      </c>
      <c r="G18" s="202">
        <v>6812.3711549999998</v>
      </c>
      <c r="H18" s="301">
        <v>31478</v>
      </c>
      <c r="I18" s="260">
        <v>2708.31</v>
      </c>
      <c r="J18" s="261">
        <f t="shared" si="0"/>
        <v>851583.684045</v>
      </c>
      <c r="K18" s="175">
        <f t="shared" si="1"/>
        <v>27.053297034277907</v>
      </c>
      <c r="L18" s="324">
        <f t="shared" si="2"/>
        <v>1.0571010226701465</v>
      </c>
      <c r="M18" s="177">
        <f t="shared" si="3"/>
        <v>7.936163165862601E-3</v>
      </c>
      <c r="N18" s="176">
        <f t="shared" si="4"/>
        <v>0.21642012202104041</v>
      </c>
      <c r="O18" s="302">
        <f t="shared" si="5"/>
        <v>11.622746288275714</v>
      </c>
      <c r="P18" s="180"/>
    </row>
    <row r="19" spans="1:16" s="96" customFormat="1" x14ac:dyDescent="0.25">
      <c r="A19" s="170" t="s">
        <v>77</v>
      </c>
      <c r="B19" s="200">
        <v>38</v>
      </c>
      <c r="C19" s="200"/>
      <c r="D19" s="200" t="s">
        <v>15</v>
      </c>
      <c r="E19" s="200" t="s">
        <v>44</v>
      </c>
      <c r="F19" s="202">
        <v>986258.3247</v>
      </c>
      <c r="G19" s="202">
        <v>6907.3880380000001</v>
      </c>
      <c r="H19" s="301">
        <v>30796</v>
      </c>
      <c r="I19" s="260">
        <v>3081.87</v>
      </c>
      <c r="J19" s="261">
        <f t="shared" si="0"/>
        <v>979350.93666200002</v>
      </c>
      <c r="K19" s="175">
        <f t="shared" si="1"/>
        <v>31.8012383641382</v>
      </c>
      <c r="L19" s="324">
        <f t="shared" si="2"/>
        <v>1.1610748196457086</v>
      </c>
      <c r="M19" s="177">
        <f t="shared" si="3"/>
        <v>7.0036296424682539E-3</v>
      </c>
      <c r="N19" s="176">
        <f t="shared" si="4"/>
        <v>0.2030603295654293</v>
      </c>
      <c r="O19" s="302">
        <f t="shared" si="5"/>
        <v>9.9926343421364301</v>
      </c>
      <c r="P19" s="180"/>
    </row>
    <row r="20" spans="1:16" s="96" customFormat="1" x14ac:dyDescent="0.25">
      <c r="A20" s="170" t="s">
        <v>77</v>
      </c>
      <c r="B20" s="200">
        <v>46</v>
      </c>
      <c r="C20" s="200"/>
      <c r="D20" s="200" t="s">
        <v>15</v>
      </c>
      <c r="E20" s="200" t="s">
        <v>23</v>
      </c>
      <c r="F20" s="202">
        <v>3266582.9730000002</v>
      </c>
      <c r="G20" s="202">
        <v>121017.5742</v>
      </c>
      <c r="H20" s="301">
        <v>118955</v>
      </c>
      <c r="I20" s="260">
        <v>8901.9799999999905</v>
      </c>
      <c r="J20" s="261">
        <f t="shared" si="0"/>
        <v>3145565.3988000001</v>
      </c>
      <c r="K20" s="175">
        <f t="shared" si="1"/>
        <v>26.443322254634108</v>
      </c>
      <c r="L20" s="324">
        <f t="shared" si="2"/>
        <v>1.3384175583087148</v>
      </c>
      <c r="M20" s="177">
        <f t="shared" si="3"/>
        <v>3.7047145350438952E-2</v>
      </c>
      <c r="N20" s="176">
        <f t="shared" si="4"/>
        <v>0.64063205269733303</v>
      </c>
      <c r="O20" s="302">
        <f t="shared" si="5"/>
        <v>13.362757498893519</v>
      </c>
      <c r="P20" s="180" t="s">
        <v>162</v>
      </c>
    </row>
    <row r="21" spans="1:16" s="96" customFormat="1" x14ac:dyDescent="0.25">
      <c r="A21" s="170" t="s">
        <v>77</v>
      </c>
      <c r="B21" s="200">
        <v>46</v>
      </c>
      <c r="C21" s="200"/>
      <c r="D21" s="200" t="s">
        <v>15</v>
      </c>
      <c r="E21" s="200" t="s">
        <v>43</v>
      </c>
      <c r="F21" s="202">
        <v>404740.04519999999</v>
      </c>
      <c r="G21" s="202">
        <v>8760.2172539999992</v>
      </c>
      <c r="H21" s="301">
        <v>8593</v>
      </c>
      <c r="I21" s="260">
        <v>1048.98</v>
      </c>
      <c r="J21" s="261">
        <f t="shared" si="0"/>
        <v>395979.82794599998</v>
      </c>
      <c r="K21" s="175">
        <f t="shared" si="1"/>
        <v>46.08167437984406</v>
      </c>
      <c r="L21" s="324">
        <f t="shared" si="2"/>
        <v>1.8006302541078083</v>
      </c>
      <c r="M21" s="177">
        <f t="shared" si="3"/>
        <v>2.1644058594872142E-2</v>
      </c>
      <c r="N21" s="176">
        <f t="shared" si="4"/>
        <v>0.59023607557388713</v>
      </c>
      <c r="O21" s="302">
        <f t="shared" si="5"/>
        <v>8.1917672405574944</v>
      </c>
      <c r="P21" s="180" t="s">
        <v>162</v>
      </c>
    </row>
    <row r="22" spans="1:16" s="96" customFormat="1" x14ac:dyDescent="0.25">
      <c r="A22" s="170" t="s">
        <v>77</v>
      </c>
      <c r="B22" s="200">
        <v>46</v>
      </c>
      <c r="C22" s="200"/>
      <c r="D22" s="200" t="s">
        <v>15</v>
      </c>
      <c r="E22" s="200" t="s">
        <v>44</v>
      </c>
      <c r="F22" s="202">
        <v>452030.49050000001</v>
      </c>
      <c r="G22" s="202">
        <v>7246.7340489999997</v>
      </c>
      <c r="H22" s="301">
        <v>7781</v>
      </c>
      <c r="I22" s="260">
        <v>1170.28</v>
      </c>
      <c r="J22" s="261">
        <f t="shared" si="0"/>
        <v>444783.75645099999</v>
      </c>
      <c r="K22" s="175">
        <f t="shared" si="1"/>
        <v>57.162801240329003</v>
      </c>
      <c r="L22" s="324">
        <f t="shared" si="2"/>
        <v>2.0870347368423019</v>
      </c>
      <c r="M22" s="177">
        <f t="shared" si="3"/>
        <v>1.6031516017833754E-2</v>
      </c>
      <c r="N22" s="176">
        <f t="shared" si="4"/>
        <v>0.46481111826288818</v>
      </c>
      <c r="O22" s="302">
        <f t="shared" si="5"/>
        <v>6.6488361759578902</v>
      </c>
      <c r="P22" s="180" t="s">
        <v>162</v>
      </c>
    </row>
    <row r="23" spans="1:16" s="96" customFormat="1" x14ac:dyDescent="0.25">
      <c r="A23" s="170" t="s">
        <v>77</v>
      </c>
      <c r="B23" s="200">
        <v>65</v>
      </c>
      <c r="C23" s="200"/>
      <c r="D23" s="200" t="s">
        <v>15</v>
      </c>
      <c r="E23" s="200" t="s">
        <v>23</v>
      </c>
      <c r="F23" s="202">
        <v>868250</v>
      </c>
      <c r="G23" s="202">
        <v>95670</v>
      </c>
      <c r="H23" s="301">
        <v>108107</v>
      </c>
      <c r="I23" s="260">
        <v>7501.06</v>
      </c>
      <c r="J23" s="261">
        <f t="shared" si="0"/>
        <v>772580</v>
      </c>
      <c r="K23" s="175">
        <f t="shared" si="1"/>
        <v>7.1464382509920723</v>
      </c>
      <c r="L23" s="324">
        <f t="shared" si="2"/>
        <v>0.36171394586474814</v>
      </c>
      <c r="M23" s="177">
        <f t="shared" si="3"/>
        <v>0.11018715807659084</v>
      </c>
      <c r="N23" s="176">
        <f t="shared" si="4"/>
        <v>1.9053944532505127</v>
      </c>
      <c r="O23" s="302">
        <f t="shared" si="5"/>
        <v>14.412229738197</v>
      </c>
      <c r="P23" s="180"/>
    </row>
    <row r="24" spans="1:16" s="96" customFormat="1" x14ac:dyDescent="0.25">
      <c r="A24" s="170" t="s">
        <v>77</v>
      </c>
      <c r="B24" s="200">
        <v>65</v>
      </c>
      <c r="C24" s="200"/>
      <c r="D24" s="200" t="s">
        <v>15</v>
      </c>
      <c r="E24" s="200" t="s">
        <v>43</v>
      </c>
      <c r="F24" s="202">
        <v>176641</v>
      </c>
      <c r="G24" s="202">
        <v>10073</v>
      </c>
      <c r="H24" s="301">
        <v>18873</v>
      </c>
      <c r="I24" s="260">
        <v>1583.4199999999998</v>
      </c>
      <c r="J24" s="261">
        <f t="shared" si="0"/>
        <v>166568</v>
      </c>
      <c r="K24" s="175">
        <f t="shared" si="1"/>
        <v>8.8257298786626404</v>
      </c>
      <c r="L24" s="324">
        <f t="shared" si="2"/>
        <v>0.34486325525216222</v>
      </c>
      <c r="M24" s="177">
        <f t="shared" si="3"/>
        <v>5.7025265934862235E-2</v>
      </c>
      <c r="N24" s="176">
        <f t="shared" si="4"/>
        <v>1.5550858461418422</v>
      </c>
      <c r="O24" s="302">
        <f t="shared" si="5"/>
        <v>11.91913705776105</v>
      </c>
      <c r="P24" s="180"/>
    </row>
    <row r="25" spans="1:16" x14ac:dyDescent="0.25">
      <c r="A25" s="170" t="s">
        <v>77</v>
      </c>
      <c r="B25" s="200">
        <v>65</v>
      </c>
      <c r="C25" s="200"/>
      <c r="D25" s="200" t="s">
        <v>15</v>
      </c>
      <c r="E25" s="200" t="s">
        <v>44</v>
      </c>
      <c r="F25" s="202">
        <v>107524</v>
      </c>
      <c r="G25" s="202">
        <v>6005</v>
      </c>
      <c r="H25" s="301">
        <v>12064</v>
      </c>
      <c r="I25" s="260">
        <v>960</v>
      </c>
      <c r="J25" s="261">
        <f t="shared" si="0"/>
        <v>101519</v>
      </c>
      <c r="K25" s="175">
        <f t="shared" si="1"/>
        <v>8.4150364721485413</v>
      </c>
      <c r="L25" s="324">
        <f t="shared" si="2"/>
        <v>0.30723605295918177</v>
      </c>
      <c r="M25" s="177">
        <f t="shared" si="3"/>
        <v>5.5847996726312264E-2</v>
      </c>
      <c r="N25" s="176">
        <f t="shared" si="4"/>
        <v>1.6192336259541711</v>
      </c>
      <c r="O25" s="302">
        <f t="shared" si="5"/>
        <v>12.566666666666666</v>
      </c>
      <c r="P25" s="180"/>
    </row>
    <row r="26" spans="1:16" x14ac:dyDescent="0.25">
      <c r="A26" s="217" t="s">
        <v>77</v>
      </c>
      <c r="B26" s="200">
        <v>80</v>
      </c>
      <c r="C26" s="200"/>
      <c r="D26" s="200" t="s">
        <v>15</v>
      </c>
      <c r="E26" s="200" t="s">
        <v>23</v>
      </c>
      <c r="F26" s="202">
        <v>597725</v>
      </c>
      <c r="G26" s="202">
        <v>52714</v>
      </c>
      <c r="H26" s="301">
        <v>92868</v>
      </c>
      <c r="I26" s="260">
        <v>5044.7999999999993</v>
      </c>
      <c r="J26" s="261">
        <f t="shared" si="0"/>
        <v>545011</v>
      </c>
      <c r="K26" s="175">
        <f t="shared" si="1"/>
        <v>5.8686630486281608</v>
      </c>
      <c r="L26" s="324">
        <f t="shared" si="2"/>
        <v>0.29703989507993711</v>
      </c>
      <c r="M26" s="177">
        <f t="shared" si="3"/>
        <v>8.8191057760675901E-2</v>
      </c>
      <c r="N26" s="176">
        <f t="shared" si="4"/>
        <v>1.5250302777269571</v>
      </c>
      <c r="O26" s="302">
        <f t="shared" si="5"/>
        <v>18.408658420551859</v>
      </c>
      <c r="P26" s="263"/>
    </row>
    <row r="27" spans="1:16" x14ac:dyDescent="0.25">
      <c r="A27" s="170" t="s">
        <v>77</v>
      </c>
      <c r="B27" s="200">
        <v>80</v>
      </c>
      <c r="C27" s="200"/>
      <c r="D27" s="200" t="s">
        <v>15</v>
      </c>
      <c r="E27" s="200" t="s">
        <v>43</v>
      </c>
      <c r="F27" s="202">
        <v>92189</v>
      </c>
      <c r="G27" s="202">
        <v>6718</v>
      </c>
      <c r="H27" s="301">
        <v>12968</v>
      </c>
      <c r="I27" s="260">
        <v>780.95600000000002</v>
      </c>
      <c r="J27" s="261">
        <f t="shared" si="0"/>
        <v>85471</v>
      </c>
      <c r="K27" s="175">
        <f t="shared" si="1"/>
        <v>6.590916101172116</v>
      </c>
      <c r="L27" s="324">
        <f t="shared" si="2"/>
        <v>0.25753844871677928</v>
      </c>
      <c r="M27" s="177">
        <f t="shared" si="3"/>
        <v>7.2872034624521367E-2</v>
      </c>
      <c r="N27" s="176">
        <f t="shared" si="4"/>
        <v>1.9872291302173863</v>
      </c>
      <c r="O27" s="302">
        <f t="shared" si="5"/>
        <v>16.605288902319721</v>
      </c>
      <c r="P27" s="180"/>
    </row>
    <row r="28" spans="1:16" x14ac:dyDescent="0.25">
      <c r="A28" s="217" t="s">
        <v>77</v>
      </c>
      <c r="B28" s="200">
        <v>80</v>
      </c>
      <c r="C28" s="200"/>
      <c r="D28" s="200" t="s">
        <v>15</v>
      </c>
      <c r="E28" s="200" t="s">
        <v>44</v>
      </c>
      <c r="F28" s="202">
        <v>73158</v>
      </c>
      <c r="G28" s="202">
        <v>5200</v>
      </c>
      <c r="H28" s="301">
        <v>10312</v>
      </c>
      <c r="I28" s="260">
        <v>619.26</v>
      </c>
      <c r="J28" s="261">
        <f t="shared" si="0"/>
        <v>67958</v>
      </c>
      <c r="K28" s="175">
        <f t="shared" si="1"/>
        <v>6.5901861908456167</v>
      </c>
      <c r="L28" s="324">
        <f t="shared" si="2"/>
        <v>0.24061010314605941</v>
      </c>
      <c r="M28" s="177">
        <f t="shared" si="3"/>
        <v>7.1079034418655512E-2</v>
      </c>
      <c r="N28" s="176">
        <f t="shared" si="4"/>
        <v>2.0608360080499653</v>
      </c>
      <c r="O28" s="302">
        <f t="shared" si="5"/>
        <v>16.652133191228241</v>
      </c>
      <c r="P28" s="263"/>
    </row>
    <row r="29" spans="1:16" x14ac:dyDescent="0.25">
      <c r="A29" s="217" t="s">
        <v>77</v>
      </c>
      <c r="B29" s="200">
        <v>83</v>
      </c>
      <c r="C29" s="200"/>
      <c r="D29" s="200" t="s">
        <v>15</v>
      </c>
      <c r="E29" s="200" t="s">
        <v>23</v>
      </c>
      <c r="F29" s="202">
        <v>988756</v>
      </c>
      <c r="G29" s="202">
        <v>82948</v>
      </c>
      <c r="H29" s="301">
        <v>100589</v>
      </c>
      <c r="I29" s="260">
        <v>7987.2</v>
      </c>
      <c r="J29" s="261">
        <f t="shared" si="0"/>
        <v>905808</v>
      </c>
      <c r="K29" s="175">
        <f t="shared" si="1"/>
        <v>9.0050403125590268</v>
      </c>
      <c r="L29" s="324">
        <f t="shared" si="2"/>
        <v>0.45578630217292893</v>
      </c>
      <c r="M29" s="177">
        <f t="shared" si="3"/>
        <v>8.3891273478997858E-2</v>
      </c>
      <c r="N29" s="176">
        <f t="shared" si="4"/>
        <v>1.4506769205527181</v>
      </c>
      <c r="O29" s="302">
        <f t="shared" si="5"/>
        <v>12.593775040064102</v>
      </c>
      <c r="P29" s="263"/>
    </row>
    <row r="30" spans="1:16" x14ac:dyDescent="0.25">
      <c r="A30" s="217" t="s">
        <v>77</v>
      </c>
      <c r="B30" s="200">
        <v>83</v>
      </c>
      <c r="C30" s="200"/>
      <c r="D30" s="200" t="s">
        <v>15</v>
      </c>
      <c r="E30" s="200" t="s">
        <v>43</v>
      </c>
      <c r="F30" s="202">
        <v>161188</v>
      </c>
      <c r="G30" s="202">
        <v>9729</v>
      </c>
      <c r="H30" s="301">
        <v>15336</v>
      </c>
      <c r="I30" s="260">
        <v>1355.4</v>
      </c>
      <c r="J30" s="261">
        <f t="shared" si="0"/>
        <v>151459</v>
      </c>
      <c r="K30" s="175">
        <f t="shared" si="1"/>
        <v>9.8760432968179455</v>
      </c>
      <c r="L30" s="324">
        <f t="shared" si="2"/>
        <v>0.38590399742304654</v>
      </c>
      <c r="M30" s="177">
        <f t="shared" si="3"/>
        <v>6.0358091173040175E-2</v>
      </c>
      <c r="N30" s="176">
        <f t="shared" si="4"/>
        <v>1.645972390388299</v>
      </c>
      <c r="O30" s="302">
        <f t="shared" si="5"/>
        <v>11.314741035856573</v>
      </c>
      <c r="P30" s="263"/>
    </row>
    <row r="31" spans="1:16" x14ac:dyDescent="0.25">
      <c r="A31" s="217" t="s">
        <v>77</v>
      </c>
      <c r="B31" s="200">
        <v>83</v>
      </c>
      <c r="C31" s="200"/>
      <c r="D31" s="200" t="s">
        <v>15</v>
      </c>
      <c r="E31" s="200" t="s">
        <v>44</v>
      </c>
      <c r="F31" s="202">
        <v>173486</v>
      </c>
      <c r="G31" s="202">
        <v>7884</v>
      </c>
      <c r="H31" s="301">
        <v>14312</v>
      </c>
      <c r="I31" s="260">
        <v>1455.8000000000002</v>
      </c>
      <c r="J31" s="261">
        <f t="shared" si="0"/>
        <v>165602</v>
      </c>
      <c r="K31" s="175">
        <f t="shared" si="1"/>
        <v>11.57084963666853</v>
      </c>
      <c r="L31" s="324">
        <f t="shared" si="2"/>
        <v>0.4224559434198813</v>
      </c>
      <c r="M31" s="177">
        <f t="shared" si="3"/>
        <v>4.5444589188752986E-2</v>
      </c>
      <c r="N31" s="176">
        <f t="shared" si="4"/>
        <v>1.3176015478713337</v>
      </c>
      <c r="O31" s="302">
        <f t="shared" si="5"/>
        <v>9.8310207446077751</v>
      </c>
      <c r="P31" s="263"/>
    </row>
    <row r="32" spans="1:16" x14ac:dyDescent="0.25">
      <c r="A32" s="217" t="s">
        <v>77</v>
      </c>
      <c r="B32" s="200">
        <v>87</v>
      </c>
      <c r="C32" s="200"/>
      <c r="D32" s="200" t="s">
        <v>15</v>
      </c>
      <c r="E32" s="200" t="s">
        <v>23</v>
      </c>
      <c r="F32" s="202">
        <v>1299165</v>
      </c>
      <c r="G32" s="202">
        <v>194400</v>
      </c>
      <c r="H32" s="301">
        <v>204192</v>
      </c>
      <c r="I32" s="260">
        <v>11985.920000000002</v>
      </c>
      <c r="J32" s="261">
        <f t="shared" si="0"/>
        <v>1104765</v>
      </c>
      <c r="K32" s="175">
        <f t="shared" si="1"/>
        <v>5.4104225434884814</v>
      </c>
      <c r="L32" s="324">
        <f t="shared" si="2"/>
        <v>0.27384624595743623</v>
      </c>
      <c r="M32" s="177">
        <f t="shared" si="3"/>
        <v>0.14963457297571903</v>
      </c>
      <c r="N32" s="176">
        <f t="shared" si="4"/>
        <v>2.5875327972817197</v>
      </c>
      <c r="O32" s="302">
        <f t="shared" si="5"/>
        <v>17.035988893635196</v>
      </c>
      <c r="P32" s="263"/>
    </row>
    <row r="33" spans="1:20" x14ac:dyDescent="0.25">
      <c r="A33" s="217" t="s">
        <v>77</v>
      </c>
      <c r="B33" s="200">
        <v>87</v>
      </c>
      <c r="C33" s="200"/>
      <c r="D33" s="200" t="s">
        <v>15</v>
      </c>
      <c r="E33" s="200" t="s">
        <v>43</v>
      </c>
      <c r="F33" s="202">
        <v>277602</v>
      </c>
      <c r="G33" s="202">
        <v>20800</v>
      </c>
      <c r="H33" s="301">
        <v>29042</v>
      </c>
      <c r="I33" s="260">
        <v>2579.58</v>
      </c>
      <c r="J33" s="261">
        <f t="shared" si="0"/>
        <v>256802</v>
      </c>
      <c r="K33" s="175">
        <f t="shared" si="1"/>
        <v>8.8424350940017913</v>
      </c>
      <c r="L33" s="324">
        <f t="shared" si="2"/>
        <v>0.34551600749143885</v>
      </c>
      <c r="M33" s="177">
        <f t="shared" si="3"/>
        <v>7.4927414067621989E-2</v>
      </c>
      <c r="N33" s="176">
        <f t="shared" si="4"/>
        <v>2.0432795743147043</v>
      </c>
      <c r="O33" s="302">
        <f t="shared" si="5"/>
        <v>11.258421913644858</v>
      </c>
      <c r="P33" s="263"/>
    </row>
    <row r="34" spans="1:20" x14ac:dyDescent="0.25">
      <c r="A34" s="217" t="s">
        <v>77</v>
      </c>
      <c r="B34" s="200">
        <v>87</v>
      </c>
      <c r="C34" s="200"/>
      <c r="D34" s="200" t="s">
        <v>15</v>
      </c>
      <c r="E34" s="200" t="s">
        <v>44</v>
      </c>
      <c r="F34" s="202">
        <v>146155</v>
      </c>
      <c r="G34" s="202">
        <v>11030</v>
      </c>
      <c r="H34" s="301">
        <v>15151</v>
      </c>
      <c r="I34" s="260">
        <v>1333.96</v>
      </c>
      <c r="J34" s="261">
        <f t="shared" si="0"/>
        <v>135125</v>
      </c>
      <c r="K34" s="175">
        <f t="shared" si="1"/>
        <v>8.918553230809847</v>
      </c>
      <c r="L34" s="324">
        <f t="shared" si="2"/>
        <v>0.3256196335939075</v>
      </c>
      <c r="M34" s="177">
        <f t="shared" si="3"/>
        <v>7.5467825254011148E-2</v>
      </c>
      <c r="N34" s="176">
        <f t="shared" si="4"/>
        <v>2.1880827870653921</v>
      </c>
      <c r="O34" s="302">
        <f t="shared" si="5"/>
        <v>11.357911781462713</v>
      </c>
      <c r="P34" s="263"/>
    </row>
    <row r="35" spans="1:20" ht="24.75" thickBot="1" x14ac:dyDescent="0.45">
      <c r="A35" s="423" t="s">
        <v>141</v>
      </c>
      <c r="B35" s="423"/>
      <c r="C35" s="423"/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3"/>
      <c r="O35" s="423"/>
      <c r="P35" s="423"/>
    </row>
    <row r="36" spans="1:20" ht="15.75" thickBot="1" x14ac:dyDescent="0.3">
      <c r="A36" s="228" t="s">
        <v>130</v>
      </c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26"/>
      <c r="N36" s="326"/>
      <c r="O36" s="307"/>
      <c r="P36" s="308"/>
    </row>
    <row r="37" spans="1:20" ht="24.75" thickBot="1" x14ac:dyDescent="0.45">
      <c r="A37" s="423" t="s">
        <v>144</v>
      </c>
      <c r="B37" s="423"/>
      <c r="C37" s="423"/>
      <c r="D37" s="423"/>
      <c r="E37" s="423"/>
      <c r="F37" s="423"/>
      <c r="G37" s="423"/>
      <c r="H37" s="423"/>
      <c r="I37" s="423"/>
      <c r="J37" s="423"/>
      <c r="K37" s="423"/>
      <c r="L37" s="423"/>
      <c r="M37" s="423"/>
      <c r="N37" s="423"/>
      <c r="O37" s="423"/>
      <c r="P37" s="423"/>
    </row>
    <row r="38" spans="1:20" x14ac:dyDescent="0.25">
      <c r="A38" s="161" t="s">
        <v>77</v>
      </c>
      <c r="B38" s="162">
        <v>827</v>
      </c>
      <c r="C38" s="162"/>
      <c r="D38" s="162" t="s">
        <v>15</v>
      </c>
      <c r="E38" s="162" t="s">
        <v>43</v>
      </c>
      <c r="F38" s="165">
        <v>38697.390420000003</v>
      </c>
      <c r="G38" s="165">
        <v>398.731562</v>
      </c>
      <c r="H38" s="309">
        <v>701</v>
      </c>
      <c r="I38" s="292">
        <v>127.64</v>
      </c>
      <c r="J38" s="255">
        <f t="shared" ref="J38:J45" si="6">+F38-G38</f>
        <v>38298.658858000003</v>
      </c>
      <c r="K38" s="165">
        <f t="shared" ref="K38:K45" si="7">+J38/H38</f>
        <v>54.634320767475039</v>
      </c>
      <c r="L38" s="327">
        <f t="shared" ref="L38" si="8">+IF(E38="Weekdays",K38/$G$49,IF(E38="Saturdays",K38/$G$50,IF(E38="Sundays",K38/$G$51,"NA")))</f>
        <v>2.1348228381557126</v>
      </c>
      <c r="M38" s="310">
        <f t="shared" ref="M38" si="9">G38/F38</f>
        <v>1.030383593499171E-2</v>
      </c>
      <c r="N38" s="311">
        <f t="shared" ref="N38" si="10">+IF(E38="Weekdays",M38/$G$55,IF(E38="Saturdays",M38/$G$56,IF(E38="Sundays",M38/$G$57,"NA")))</f>
        <v>0.28098684260019335</v>
      </c>
      <c r="O38" s="312">
        <f t="shared" ref="O38" si="11">+H38/I38</f>
        <v>5.4920087746787845</v>
      </c>
      <c r="P38" s="285"/>
    </row>
    <row r="39" spans="1:20" x14ac:dyDescent="0.25">
      <c r="A39" s="170" t="s">
        <v>77</v>
      </c>
      <c r="B39" s="172">
        <v>827</v>
      </c>
      <c r="C39" s="172"/>
      <c r="D39" s="172" t="s">
        <v>15</v>
      </c>
      <c r="E39" s="172" t="s">
        <v>23</v>
      </c>
      <c r="F39" s="175">
        <v>296508.13219999999</v>
      </c>
      <c r="G39" s="175">
        <v>4443.7360040000003</v>
      </c>
      <c r="H39" s="313">
        <v>5426</v>
      </c>
      <c r="I39" s="264">
        <v>883.91</v>
      </c>
      <c r="J39" s="261">
        <f t="shared" si="6"/>
        <v>292064.39619599999</v>
      </c>
      <c r="K39" s="175">
        <f t="shared" si="7"/>
        <v>53.826833062292664</v>
      </c>
      <c r="L39" s="328">
        <f t="shared" ref="L39:L45" si="12">+IF(E39="Weekdays",K39/$G$49,IF(E39="Saturdays",K39/$G$50,IF(E39="Sundays",K39/$G$51,"NA")))</f>
        <v>2.7244223620993493</v>
      </c>
      <c r="M39" s="314">
        <f t="shared" ref="M39:M45" si="13">G39/F39</f>
        <v>1.4986894190823143E-2</v>
      </c>
      <c r="N39" s="315">
        <f t="shared" ref="N39:N45" si="14">+IF(E39="Weekdays",M39/$G$55,IF(E39="Saturdays",M39/$G$56,IF(E39="Sundays",M39/$G$57,"NA")))</f>
        <v>0.25915855859353026</v>
      </c>
      <c r="O39" s="316">
        <f t="shared" ref="O39:O45" si="15">+H39/I39</f>
        <v>6.1386340238259551</v>
      </c>
      <c r="P39" s="180"/>
    </row>
    <row r="40" spans="1:20" s="96" customFormat="1" x14ac:dyDescent="0.25">
      <c r="A40" s="170" t="s">
        <v>77</v>
      </c>
      <c r="B40" s="172">
        <v>36</v>
      </c>
      <c r="C40" s="172"/>
      <c r="D40" s="172" t="s">
        <v>15</v>
      </c>
      <c r="E40" s="172" t="s">
        <v>43</v>
      </c>
      <c r="F40" s="175">
        <v>79084.748309999995</v>
      </c>
      <c r="G40" s="175">
        <v>300.32121910000001</v>
      </c>
      <c r="H40" s="313">
        <v>1282</v>
      </c>
      <c r="I40" s="264">
        <v>192.4</v>
      </c>
      <c r="J40" s="261">
        <f t="shared" si="6"/>
        <v>78784.42709089999</v>
      </c>
      <c r="K40" s="175">
        <f t="shared" si="7"/>
        <v>61.454311303354125</v>
      </c>
      <c r="L40" s="328">
        <f t="shared" si="12"/>
        <v>2.4013123148706503</v>
      </c>
      <c r="M40" s="314">
        <f t="shared" si="13"/>
        <v>3.7974606421302274E-3</v>
      </c>
      <c r="N40" s="314">
        <f t="shared" si="14"/>
        <v>0.10355720747717183</v>
      </c>
      <c r="O40" s="302">
        <f t="shared" si="15"/>
        <v>6.6632016632016633</v>
      </c>
      <c r="P40" s="180"/>
    </row>
    <row r="41" spans="1:20" s="96" customFormat="1" x14ac:dyDescent="0.25">
      <c r="A41" s="170" t="s">
        <v>77</v>
      </c>
      <c r="B41" s="172">
        <v>36</v>
      </c>
      <c r="C41" s="172"/>
      <c r="D41" s="172" t="s">
        <v>15</v>
      </c>
      <c r="E41" s="172" t="s">
        <v>44</v>
      </c>
      <c r="F41" s="175">
        <v>86801.788969999994</v>
      </c>
      <c r="G41" s="175">
        <v>193.4272258</v>
      </c>
      <c r="H41" s="313">
        <v>1162</v>
      </c>
      <c r="I41" s="264">
        <v>208.3</v>
      </c>
      <c r="J41" s="261">
        <f t="shared" si="6"/>
        <v>86608.361744199996</v>
      </c>
      <c r="K41" s="175">
        <f t="shared" si="7"/>
        <v>74.533874134423399</v>
      </c>
      <c r="L41" s="328">
        <f t="shared" si="12"/>
        <v>2.7212589483845648</v>
      </c>
      <c r="M41" s="314">
        <f t="shared" si="13"/>
        <v>2.2283783329264256E-3</v>
      </c>
      <c r="N41" s="314">
        <f t="shared" si="14"/>
        <v>6.4608676040875182E-2</v>
      </c>
      <c r="O41" s="302">
        <f t="shared" si="15"/>
        <v>5.5784925588094092</v>
      </c>
      <c r="P41" s="180"/>
    </row>
    <row r="42" spans="1:20" s="96" customFormat="1" x14ac:dyDescent="0.25">
      <c r="A42" s="170" t="s">
        <v>77</v>
      </c>
      <c r="B42" s="172">
        <v>36</v>
      </c>
      <c r="C42" s="172"/>
      <c r="D42" s="172" t="s">
        <v>15</v>
      </c>
      <c r="E42" s="172" t="s">
        <v>23</v>
      </c>
      <c r="F42" s="175">
        <v>328063.73920000001</v>
      </c>
      <c r="G42" s="175">
        <v>1396.4088320000001</v>
      </c>
      <c r="H42" s="313">
        <v>6849</v>
      </c>
      <c r="I42" s="264">
        <v>847.14</v>
      </c>
      <c r="J42" s="261">
        <f t="shared" si="6"/>
        <v>326667.33036800002</v>
      </c>
      <c r="K42" s="175">
        <f t="shared" si="7"/>
        <v>47.695624232442697</v>
      </c>
      <c r="L42" s="328">
        <f t="shared" si="12"/>
        <v>2.4140938234797162</v>
      </c>
      <c r="M42" s="314">
        <f t="shared" si="13"/>
        <v>4.2565168445778661E-3</v>
      </c>
      <c r="N42" s="314">
        <f t="shared" si="14"/>
        <v>7.3605161684890355E-2</v>
      </c>
      <c r="O42" s="302">
        <f t="shared" si="15"/>
        <v>8.0848502018556552</v>
      </c>
      <c r="P42" s="180"/>
    </row>
    <row r="43" spans="1:20" x14ac:dyDescent="0.25">
      <c r="A43" s="170" t="s">
        <v>77</v>
      </c>
      <c r="B43" s="172">
        <v>27</v>
      </c>
      <c r="C43" s="172"/>
      <c r="D43" s="172" t="s">
        <v>15</v>
      </c>
      <c r="E43" s="172" t="s">
        <v>43</v>
      </c>
      <c r="F43" s="175">
        <v>184447.53580000001</v>
      </c>
      <c r="G43" s="175">
        <v>3466.4194950000001</v>
      </c>
      <c r="H43" s="313">
        <v>5259</v>
      </c>
      <c r="I43" s="264">
        <v>363.23</v>
      </c>
      <c r="J43" s="261">
        <f t="shared" si="6"/>
        <v>180981.116305</v>
      </c>
      <c r="K43" s="175">
        <f t="shared" si="7"/>
        <v>34.413598841034421</v>
      </c>
      <c r="L43" s="328">
        <f t="shared" si="12"/>
        <v>1.3447030312987007</v>
      </c>
      <c r="M43" s="314">
        <f t="shared" si="13"/>
        <v>1.8793525649259447E-2</v>
      </c>
      <c r="N43" s="315">
        <f t="shared" si="14"/>
        <v>0.51250170002977724</v>
      </c>
      <c r="O43" s="316">
        <f t="shared" si="15"/>
        <v>14.478429645128431</v>
      </c>
      <c r="P43" s="180"/>
      <c r="Q43" s="5"/>
      <c r="S43" s="5"/>
      <c r="T43" s="7"/>
    </row>
    <row r="44" spans="1:20" x14ac:dyDescent="0.25">
      <c r="A44" s="170" t="s">
        <v>77</v>
      </c>
      <c r="B44" s="172">
        <v>27</v>
      </c>
      <c r="C44" s="172"/>
      <c r="D44" s="172" t="s">
        <v>15</v>
      </c>
      <c r="E44" s="172" t="s">
        <v>44</v>
      </c>
      <c r="F44" s="175">
        <v>189534.14689999999</v>
      </c>
      <c r="G44" s="175">
        <v>2730.0386520000002</v>
      </c>
      <c r="H44" s="313">
        <v>4922</v>
      </c>
      <c r="I44" s="264">
        <v>389.36</v>
      </c>
      <c r="J44" s="261">
        <f t="shared" si="6"/>
        <v>186804.108248</v>
      </c>
      <c r="K44" s="175">
        <f t="shared" si="7"/>
        <v>37.952886681836652</v>
      </c>
      <c r="L44" s="328">
        <f t="shared" si="12"/>
        <v>1.385673744983474</v>
      </c>
      <c r="M44" s="314">
        <f t="shared" si="13"/>
        <v>1.4403940908022207E-2</v>
      </c>
      <c r="N44" s="315">
        <f t="shared" si="14"/>
        <v>0.41762188138680068</v>
      </c>
      <c r="O44" s="316">
        <f t="shared" si="15"/>
        <v>12.641257448119992</v>
      </c>
      <c r="P44" s="180"/>
      <c r="Q44" s="5"/>
      <c r="S44" s="5"/>
      <c r="T44" s="7"/>
    </row>
    <row r="45" spans="1:20" ht="15.75" thickBot="1" x14ac:dyDescent="0.3">
      <c r="A45" s="182" t="s">
        <v>77</v>
      </c>
      <c r="B45" s="184">
        <v>27</v>
      </c>
      <c r="C45" s="184"/>
      <c r="D45" s="184" t="s">
        <v>15</v>
      </c>
      <c r="E45" s="184" t="s">
        <v>23</v>
      </c>
      <c r="F45" s="187">
        <v>965868.91509999998</v>
      </c>
      <c r="G45" s="187">
        <v>23272.34938</v>
      </c>
      <c r="H45" s="317">
        <v>35406</v>
      </c>
      <c r="I45" s="267">
        <v>1898.39</v>
      </c>
      <c r="J45" s="268">
        <f t="shared" si="6"/>
        <v>942596.56571999996</v>
      </c>
      <c r="K45" s="187">
        <f t="shared" si="7"/>
        <v>26.622509340789694</v>
      </c>
      <c r="L45" s="329">
        <f t="shared" si="12"/>
        <v>1.347487036796456</v>
      </c>
      <c r="M45" s="318">
        <f t="shared" si="13"/>
        <v>2.4094728607753701E-2</v>
      </c>
      <c r="N45" s="244">
        <f t="shared" si="14"/>
        <v>0.41665438190064258</v>
      </c>
      <c r="O45" s="319">
        <f t="shared" si="15"/>
        <v>18.65054072134809</v>
      </c>
      <c r="P45" s="286"/>
      <c r="Q45" s="5"/>
    </row>
    <row r="46" spans="1:20" x14ac:dyDescent="0.25">
      <c r="A46" s="200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4"/>
      <c r="N46" s="204"/>
      <c r="O46" s="200"/>
      <c r="P46" s="200"/>
    </row>
    <row r="47" spans="1:20" ht="15.75" thickBot="1" x14ac:dyDescent="0.3">
      <c r="A47" s="200"/>
      <c r="B47" s="200"/>
      <c r="C47" s="200"/>
      <c r="D47" s="200"/>
      <c r="E47" s="284" t="s">
        <v>70</v>
      </c>
      <c r="F47" s="330"/>
      <c r="G47" s="330"/>
      <c r="H47" s="330"/>
      <c r="I47" s="330"/>
      <c r="J47" s="330"/>
      <c r="K47" s="330"/>
      <c r="L47" s="200"/>
      <c r="M47" s="204"/>
      <c r="N47" s="204"/>
      <c r="O47" s="200"/>
      <c r="P47" s="200"/>
    </row>
    <row r="48" spans="1:20" ht="36" x14ac:dyDescent="0.25">
      <c r="A48" s="200"/>
      <c r="B48" s="200"/>
      <c r="C48" s="200"/>
      <c r="D48" s="200"/>
      <c r="E48" s="206" t="s">
        <v>41</v>
      </c>
      <c r="F48" s="272" t="s">
        <v>33</v>
      </c>
      <c r="G48" s="273" t="s">
        <v>34</v>
      </c>
      <c r="H48" s="273" t="s">
        <v>35</v>
      </c>
      <c r="I48" s="273" t="s">
        <v>36</v>
      </c>
      <c r="J48" s="274" t="s">
        <v>37</v>
      </c>
      <c r="K48" s="209" t="s">
        <v>40</v>
      </c>
      <c r="L48" s="200"/>
      <c r="M48" s="204"/>
      <c r="N48" s="204"/>
      <c r="O48" s="200"/>
      <c r="P48" s="200"/>
    </row>
    <row r="49" spans="1:16" x14ac:dyDescent="0.25">
      <c r="A49" s="200"/>
      <c r="B49" s="200"/>
      <c r="C49" s="200"/>
      <c r="D49" s="200"/>
      <c r="E49" s="210">
        <f>COUNTIF($E$3:$E$45, "Weekdays")</f>
        <v>14</v>
      </c>
      <c r="F49" s="217" t="s">
        <v>23</v>
      </c>
      <c r="G49" s="218">
        <f>AVERAGEIF($E$3:$E$45,"Weekdays",K3:K45)</f>
        <v>19.75715432786842</v>
      </c>
      <c r="H49" s="219">
        <f>G49*1.2</f>
        <v>23.708585193442104</v>
      </c>
      <c r="I49" s="220">
        <f>G49*1.35</f>
        <v>26.672158342622367</v>
      </c>
      <c r="J49" s="221">
        <f>G49*1.6</f>
        <v>31.611446924589472</v>
      </c>
      <c r="K49" s="216">
        <f>+SUMIF($E$3:$E$45,"Weekdays",$J$3:$J$45)/SUMIF($E$3:$E$45,"Weekdays",$H$3:$H$45)</f>
        <v>14.235731947369079</v>
      </c>
      <c r="L49" s="200"/>
      <c r="M49" s="204"/>
      <c r="N49" s="204"/>
      <c r="O49" s="200"/>
      <c r="P49" s="200"/>
    </row>
    <row r="50" spans="1:16" x14ac:dyDescent="0.25">
      <c r="A50" s="200"/>
      <c r="B50" s="200"/>
      <c r="C50" s="200"/>
      <c r="D50" s="200"/>
      <c r="E50" s="210">
        <f>COUNTIF($E$3:$E$45, "Saturdays")</f>
        <v>14</v>
      </c>
      <c r="F50" s="217" t="s">
        <v>43</v>
      </c>
      <c r="G50" s="218">
        <f>AVERAGEIF($E$3:$E$45,"Saturdays",K3:K45)</f>
        <v>25.591969408887337</v>
      </c>
      <c r="H50" s="219">
        <f>G50*1.2</f>
        <v>30.710363290664802</v>
      </c>
      <c r="I50" s="220">
        <f>G50*1.35</f>
        <v>34.549158701997911</v>
      </c>
      <c r="J50" s="221">
        <f>G50*1.6</f>
        <v>40.947151054219745</v>
      </c>
      <c r="K50" s="216">
        <f>+SUMIF($E$3:$E$45,"saturdays",$J$3:$J$45)/SUMIF($E$3:$E$45,"saturdays",$H$3:$H$45)</f>
        <v>17.721903517991528</v>
      </c>
      <c r="L50" s="200"/>
      <c r="M50" s="204"/>
      <c r="N50" s="204"/>
      <c r="O50" s="200"/>
      <c r="P50" s="200"/>
    </row>
    <row r="51" spans="1:16" ht="15.75" thickBot="1" x14ac:dyDescent="0.3">
      <c r="A51" s="200"/>
      <c r="B51" s="200"/>
      <c r="C51" s="200"/>
      <c r="D51" s="200"/>
      <c r="E51" s="222">
        <f>COUNTIF($E$3:$E$45, "Sundays")</f>
        <v>12</v>
      </c>
      <c r="F51" s="217" t="s">
        <v>44</v>
      </c>
      <c r="G51" s="321">
        <f>AVERAGEIF($E$3:$E$45,"Sundays",K3:K45)</f>
        <v>27.38948242271076</v>
      </c>
      <c r="H51" s="219">
        <f>G51*1.2</f>
        <v>32.867378907252913</v>
      </c>
      <c r="I51" s="220">
        <f>G51*1.35</f>
        <v>36.975801270659531</v>
      </c>
      <c r="J51" s="221">
        <f>G51*1.6</f>
        <v>43.82317187633722</v>
      </c>
      <c r="K51" s="232">
        <f>+SUMIF($E$3:$E$45,"Sundays",$J$3:$J$45)/SUMIF($E$3:$E$45,"Sundays",$H$3:$H$45)</f>
        <v>21.416748608866733</v>
      </c>
      <c r="L51" s="200"/>
      <c r="M51" s="204"/>
      <c r="N51" s="204"/>
      <c r="O51" s="200"/>
      <c r="P51" s="200"/>
    </row>
    <row r="52" spans="1:16" ht="15.75" thickBot="1" x14ac:dyDescent="0.3">
      <c r="A52" s="200"/>
      <c r="B52" s="200"/>
      <c r="C52" s="200"/>
      <c r="D52" s="200"/>
      <c r="E52" s="200"/>
      <c r="F52" s="228" t="s">
        <v>62</v>
      </c>
      <c r="G52" s="229">
        <v>15</v>
      </c>
      <c r="H52" s="230"/>
      <c r="I52" s="230"/>
      <c r="J52" s="231"/>
      <c r="K52" s="232">
        <f>+SUM($J$3:$J$45)/SUM($H$3:$H$45)</f>
        <v>15.282277489808639</v>
      </c>
      <c r="L52" s="200"/>
      <c r="M52" s="204"/>
      <c r="N52" s="204"/>
      <c r="O52" s="200"/>
      <c r="P52" s="200"/>
    </row>
    <row r="53" spans="1:16" ht="15.75" thickBot="1" x14ac:dyDescent="0.3">
      <c r="A53" s="200"/>
      <c r="B53" s="200"/>
      <c r="C53" s="200"/>
      <c r="D53" s="200"/>
      <c r="E53" s="284" t="s">
        <v>69</v>
      </c>
      <c r="F53" s="330"/>
      <c r="G53" s="330"/>
      <c r="H53" s="330"/>
      <c r="I53" s="330"/>
      <c r="J53" s="330"/>
      <c r="K53" s="330"/>
      <c r="L53" s="200"/>
      <c r="M53" s="204"/>
      <c r="N53" s="204"/>
      <c r="O53" s="200"/>
      <c r="P53" s="200"/>
    </row>
    <row r="54" spans="1:16" ht="36" x14ac:dyDescent="0.25">
      <c r="A54" s="200"/>
      <c r="B54" s="200"/>
      <c r="C54" s="200"/>
      <c r="D54" s="200"/>
      <c r="E54" s="206" t="s">
        <v>41</v>
      </c>
      <c r="F54" s="206" t="s">
        <v>33</v>
      </c>
      <c r="G54" s="207" t="s">
        <v>34</v>
      </c>
      <c r="H54" s="207" t="s">
        <v>35</v>
      </c>
      <c r="I54" s="207" t="s">
        <v>36</v>
      </c>
      <c r="J54" s="208" t="s">
        <v>37</v>
      </c>
      <c r="K54" s="209" t="s">
        <v>123</v>
      </c>
      <c r="L54" s="200"/>
      <c r="M54" s="204"/>
      <c r="N54" s="204"/>
      <c r="O54" s="200"/>
      <c r="P54" s="200"/>
    </row>
    <row r="55" spans="1:16" x14ac:dyDescent="0.25">
      <c r="A55" s="200"/>
      <c r="B55" s="200"/>
      <c r="C55" s="200"/>
      <c r="D55" s="200"/>
      <c r="E55" s="210">
        <f>COUNTIF(E3:E45, "Weekdays")</f>
        <v>14</v>
      </c>
      <c r="F55" s="211" t="s">
        <v>23</v>
      </c>
      <c r="G55" s="233">
        <f>AVERAGEIF($E$3:$E$45,"Weekdays",$M$3:$M$45)</f>
        <v>5.7829053657953482E-2</v>
      </c>
      <c r="H55" s="234">
        <f>G55*0.8</f>
        <v>4.6263242926362788E-2</v>
      </c>
      <c r="I55" s="235">
        <f>G55*0.65</f>
        <v>3.7588884877669766E-2</v>
      </c>
      <c r="J55" s="236">
        <f>G55*0.4</f>
        <v>2.3131621463181394E-2</v>
      </c>
      <c r="K55" s="237">
        <f>+SUMIF($E$3:$E$45,"Weekdays",$G$3:$G$45)/SUMIF($E$3:$E$45,"Weekdays",$F$3:$F$45)</f>
        <v>4.9163564888902084E-2</v>
      </c>
      <c r="L55" s="200"/>
      <c r="M55" s="331"/>
      <c r="N55" s="204"/>
      <c r="O55" s="200"/>
      <c r="P55" s="200"/>
    </row>
    <row r="56" spans="1:16" x14ac:dyDescent="0.25">
      <c r="A56" s="200"/>
      <c r="B56" s="200"/>
      <c r="C56" s="200"/>
      <c r="D56" s="200"/>
      <c r="E56" s="210">
        <f>COUNTIF(E3:E45, "Saturdays")</f>
        <v>14</v>
      </c>
      <c r="F56" s="217" t="s">
        <v>43</v>
      </c>
      <c r="G56" s="238">
        <f>AVERAGEIF($E$3:$E$45,"Saturdays",$M$3:$M$45)</f>
        <v>3.6670172309999187E-2</v>
      </c>
      <c r="H56" s="239">
        <f>G56*0.8</f>
        <v>2.933613784799935E-2</v>
      </c>
      <c r="I56" s="240">
        <f>G56*0.65</f>
        <v>2.3835612001499473E-2</v>
      </c>
      <c r="J56" s="241">
        <f>G56*0.4</f>
        <v>1.4668068923999675E-2</v>
      </c>
      <c r="K56" s="237">
        <f>+SUMIF($E$3:$E$45,"Saturdays",$G$3:$G$45)/SUMIF($E$3:$E$45,"Saturdays",$F$3:$F$45)</f>
        <v>3.3952639209486282E-2</v>
      </c>
      <c r="L56" s="200"/>
      <c r="M56" s="331"/>
      <c r="N56" s="204"/>
      <c r="O56" s="200"/>
      <c r="P56" s="200"/>
    </row>
    <row r="57" spans="1:16" ht="15.75" thickBot="1" x14ac:dyDescent="0.3">
      <c r="A57" s="200"/>
      <c r="B57" s="200"/>
      <c r="C57" s="200"/>
      <c r="D57" s="200"/>
      <c r="E57" s="222">
        <f>COUNTIF(E3:E45, "Sundays")</f>
        <v>12</v>
      </c>
      <c r="F57" s="243" t="s">
        <v>44</v>
      </c>
      <c r="G57" s="446">
        <f>AVERAGEIF($E$3:$E$45,"Sundays",$M$3:$M$45)</f>
        <v>3.4490388435086096E-2</v>
      </c>
      <c r="H57" s="245">
        <f>G57*0.8</f>
        <v>2.759231074806888E-2</v>
      </c>
      <c r="I57" s="246">
        <f>G57*0.65</f>
        <v>2.2418752482805962E-2</v>
      </c>
      <c r="J57" s="247">
        <f>G57*0.4</f>
        <v>1.379615537403444E-2</v>
      </c>
      <c r="K57" s="248">
        <f>+SUMIF($E$3:$E$45,"Sundays",$G$3:$G$45)/SUMIF($E$3:$E$45,"Sundays",$F$3:$F$45)</f>
        <v>2.6453300879816278E-2</v>
      </c>
      <c r="L57" s="200"/>
      <c r="M57" s="331"/>
      <c r="N57" s="204"/>
      <c r="O57" s="200"/>
      <c r="P57" s="200"/>
    </row>
    <row r="58" spans="1:16" x14ac:dyDescent="0.25">
      <c r="M58" s="76"/>
      <c r="N58" s="26"/>
    </row>
    <row r="59" spans="1:16" x14ac:dyDescent="0.25">
      <c r="M59" s="76"/>
      <c r="N59" s="26"/>
    </row>
    <row r="60" spans="1:16" x14ac:dyDescent="0.25">
      <c r="M60" s="76"/>
      <c r="N60" s="26"/>
    </row>
    <row r="61" spans="1:16" x14ac:dyDescent="0.25">
      <c r="M61" s="76"/>
      <c r="N61" s="26"/>
    </row>
    <row r="62" spans="1:16" x14ac:dyDescent="0.25">
      <c r="M62" s="76"/>
      <c r="N62" s="26"/>
    </row>
    <row r="63" spans="1:16" x14ac:dyDescent="0.25">
      <c r="M63" s="76"/>
      <c r="N63" s="26"/>
    </row>
    <row r="64" spans="1:16" x14ac:dyDescent="0.25">
      <c r="M64" s="76"/>
      <c r="N64" s="26"/>
    </row>
    <row r="65" spans="13:14" x14ac:dyDescent="0.25">
      <c r="M65" s="76"/>
      <c r="N65" s="26"/>
    </row>
    <row r="66" spans="13:14" x14ac:dyDescent="0.25">
      <c r="M66" s="76"/>
      <c r="N66" s="26"/>
    </row>
    <row r="67" spans="13:14" x14ac:dyDescent="0.25">
      <c r="M67" s="76"/>
      <c r="N67" s="26"/>
    </row>
    <row r="68" spans="13:14" x14ac:dyDescent="0.25">
      <c r="M68" s="76"/>
      <c r="N68" s="26"/>
    </row>
    <row r="69" spans="13:14" x14ac:dyDescent="0.25">
      <c r="M69" s="76"/>
      <c r="N69" s="26"/>
    </row>
    <row r="70" spans="13:14" x14ac:dyDescent="0.25">
      <c r="M70" s="76"/>
      <c r="N70" s="26"/>
    </row>
    <row r="71" spans="13:14" x14ac:dyDescent="0.25">
      <c r="M71" s="76"/>
      <c r="N71" s="26"/>
    </row>
    <row r="72" spans="13:14" x14ac:dyDescent="0.25">
      <c r="M72" s="76"/>
      <c r="N72" s="26"/>
    </row>
    <row r="73" spans="13:14" x14ac:dyDescent="0.25">
      <c r="M73" s="76"/>
      <c r="N73" s="26"/>
    </row>
  </sheetData>
  <autoFilter ref="A2:P45" xr:uid="{ECC12A5D-51DF-447F-A92C-EE50EFD3A187}"/>
  <sortState xmlns:xlrd2="http://schemas.microsoft.com/office/spreadsheetml/2017/richdata2" ref="A3:P34">
    <sortCondition ref="B3:B34"/>
    <sortCondition ref="E3:E34" customList="Weekdays,Saturdays,Sundays"/>
  </sortState>
  <conditionalFormatting sqref="L3:L34 L38:L45">
    <cfRule type="cellIs" dxfId="57" priority="10" operator="greaterThan">
      <formula>1.6</formula>
    </cfRule>
    <cfRule type="cellIs" dxfId="56" priority="11" operator="between">
      <formula>1.35</formula>
      <formula>1.6</formula>
    </cfRule>
    <cfRule type="cellIs" dxfId="55" priority="12" operator="between">
      <formula>1.2</formula>
      <formula>1.35</formula>
    </cfRule>
  </conditionalFormatting>
  <conditionalFormatting sqref="N3:N34 N38:N45">
    <cfRule type="cellIs" dxfId="54" priority="6" operator="lessThan">
      <formula>0.4</formula>
    </cfRule>
    <cfRule type="cellIs" dxfId="53" priority="7" operator="between">
      <formula>0.65</formula>
      <formula>0.4</formula>
    </cfRule>
    <cfRule type="cellIs" dxfId="52" priority="8" operator="between">
      <formula>0.8</formula>
      <formula>0.65</formula>
    </cfRule>
  </conditionalFormatting>
  <conditionalFormatting sqref="O3:O34 O38:O45">
    <cfRule type="cellIs" dxfId="51" priority="25" operator="lessThan">
      <formula>15</formula>
    </cfRule>
  </conditionalFormatting>
  <dataValidations count="3">
    <dataValidation type="textLength" allowBlank="1" showInputMessage="1" showErrorMessage="1" promptTitle="Route Name" prompt="Enter route name if applicable. Leave blank if not. This applies to METRO system lines, Northstar, Metro Mobility, and others. Examples include &quot;A Line&quot;, &quot;Orange Line&quot;, &quot;Green Line&quot;, or &quot;State Fair&quot;." sqref="C3:C8" xr:uid="{28B83F7C-CA32-49F9-ADCA-E5566F8883BF}">
      <formula1>0</formula1>
      <formula2>20</formula2>
    </dataValidation>
    <dataValidation type="whole" allowBlank="1" showInputMessage="1" showErrorMessage="1" promptTitle="Route Number" prompt="Please enter the route's number ID. This is typically a whole number up to three digits such as '74&quot; or '446'." sqref="B3:B8" xr:uid="{D810BB5D-9E45-4D26-B3AD-CA8B155382EB}">
      <formula1>0</formula1>
      <formula2>1000</formula2>
    </dataValidation>
    <dataValidation type="whole" allowBlank="1" showInputMessage="1" showErrorMessage="1" promptTitle="Passenger Trips" prompt="Please input the whole number of unlinked passenger trips" sqref="H40:H45 H3:H22" xr:uid="{2C6ECE65-ECE9-479B-A665-C3351E8F53AA}">
      <formula1>0</formula1>
      <formula2>100000000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99148-0E12-4E72-99D8-E08F9F3D27D6}">
  <sheetPr>
    <pageSetUpPr autoPageBreaks="0"/>
  </sheetPr>
  <dimension ref="A1:T121"/>
  <sheetViews>
    <sheetView zoomScale="90" zoomScaleNormal="90" workbookViewId="0">
      <pane ySplit="2" topLeftCell="A3" activePane="bottomLeft" state="frozen"/>
      <selection pane="bottomLeft" activeCell="F131" sqref="F131"/>
    </sheetView>
  </sheetViews>
  <sheetFormatPr defaultRowHeight="15" x14ac:dyDescent="0.25"/>
  <cols>
    <col min="1" max="1" width="17.7109375" bestFit="1" customWidth="1"/>
    <col min="2" max="2" width="9.7109375" customWidth="1"/>
    <col min="3" max="3" width="10.7109375" customWidth="1"/>
    <col min="4" max="4" width="19.28515625" bestFit="1" customWidth="1"/>
    <col min="5" max="5" width="10.7109375" customWidth="1"/>
    <col min="6" max="6" width="15.7109375" customWidth="1"/>
    <col min="7" max="7" width="15.140625" bestFit="1" customWidth="1"/>
    <col min="8" max="8" width="14.42578125" customWidth="1"/>
    <col min="9" max="9" width="14.7109375" customWidth="1"/>
    <col min="10" max="10" width="13" style="3" customWidth="1"/>
    <col min="11" max="11" width="15" customWidth="1"/>
    <col min="12" max="12" width="14.140625" customWidth="1"/>
    <col min="13" max="13" width="15.140625" customWidth="1"/>
    <col min="14" max="14" width="14.140625" customWidth="1"/>
    <col min="15" max="15" width="15.140625" customWidth="1"/>
    <col min="16" max="16" width="77.42578125" style="133" bestFit="1" customWidth="1"/>
    <col min="17" max="17" width="16.42578125" hidden="1" customWidth="1"/>
    <col min="18" max="18" width="20.85546875" bestFit="1" customWidth="1"/>
    <col min="19" max="19" width="26.7109375" bestFit="1" customWidth="1"/>
    <col min="20" max="20" width="19.7109375" bestFit="1" customWidth="1"/>
  </cols>
  <sheetData>
    <row r="1" spans="1:17" s="10" customFormat="1" ht="37.5" thickBot="1" x14ac:dyDescent="0.75">
      <c r="A1" s="472" t="s">
        <v>127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</row>
    <row r="2" spans="1:17" ht="60.75" thickBot="1" x14ac:dyDescent="0.3">
      <c r="A2" s="152" t="s">
        <v>7</v>
      </c>
      <c r="B2" s="153" t="s">
        <v>49</v>
      </c>
      <c r="C2" s="153" t="s">
        <v>50</v>
      </c>
      <c r="D2" s="154" t="s">
        <v>0</v>
      </c>
      <c r="E2" s="154" t="s">
        <v>1</v>
      </c>
      <c r="F2" s="155" t="s">
        <v>2</v>
      </c>
      <c r="G2" s="155" t="s">
        <v>27</v>
      </c>
      <c r="H2" s="155" t="s">
        <v>29</v>
      </c>
      <c r="I2" s="156" t="s">
        <v>42</v>
      </c>
      <c r="J2" s="156" t="s">
        <v>28</v>
      </c>
      <c r="K2" s="157" t="s">
        <v>11</v>
      </c>
      <c r="L2" s="158" t="s">
        <v>48</v>
      </c>
      <c r="M2" s="159" t="s">
        <v>69</v>
      </c>
      <c r="N2" s="159" t="s">
        <v>71</v>
      </c>
      <c r="O2" s="158" t="s">
        <v>31</v>
      </c>
      <c r="P2" s="160" t="s">
        <v>32</v>
      </c>
      <c r="Q2" s="140" t="s">
        <v>125</v>
      </c>
    </row>
    <row r="3" spans="1:17" x14ac:dyDescent="0.25">
      <c r="A3" s="334" t="s">
        <v>77</v>
      </c>
      <c r="B3" s="162">
        <v>219</v>
      </c>
      <c r="C3" s="255"/>
      <c r="D3" s="255" t="s">
        <v>16</v>
      </c>
      <c r="E3" s="255" t="s">
        <v>23</v>
      </c>
      <c r="F3" s="255">
        <v>1395982</v>
      </c>
      <c r="G3" s="255">
        <v>78228</v>
      </c>
      <c r="H3" s="309">
        <v>102501</v>
      </c>
      <c r="I3" s="309">
        <v>13008.896000000001</v>
      </c>
      <c r="J3" s="255">
        <f t="shared" ref="J3:J34" si="0">+F3-G3</f>
        <v>1317754</v>
      </c>
      <c r="K3" s="165">
        <f t="shared" ref="K3:K34" si="1">+J3/H3</f>
        <v>12.856011160866723</v>
      </c>
      <c r="L3" s="167">
        <f t="shared" ref="L3:L34" si="2">+IF(E3="Weekdays",K3/$G$113,IF(E3="Saturdays",K3/$G$114,IF(E3="Sundays",K3/$G$115,"NA")))</f>
        <v>0.36551971973396652</v>
      </c>
      <c r="M3" s="167">
        <f t="shared" ref="M3:M34" si="3">G3/F3</f>
        <v>5.6037971836313073E-2</v>
      </c>
      <c r="N3" s="166">
        <f t="shared" ref="N3:N34" si="4">+IF(E3="Weekdays",M3/$G$119,IF(E3="Saturdays",M3/$G$120,IF(E3="Sundays",M3/$G$121,"NA")))</f>
        <v>1.2545379495069053</v>
      </c>
      <c r="O3" s="168">
        <f t="shared" ref="O3:O34" si="5">+H3/I3</f>
        <v>7.8793004417899875</v>
      </c>
      <c r="P3" s="257"/>
      <c r="Q3" t="s">
        <v>126</v>
      </c>
    </row>
    <row r="4" spans="1:17" x14ac:dyDescent="0.25">
      <c r="A4" s="335" t="s">
        <v>77</v>
      </c>
      <c r="B4" s="172">
        <v>219</v>
      </c>
      <c r="C4" s="261"/>
      <c r="D4" s="261" t="s">
        <v>16</v>
      </c>
      <c r="E4" s="261" t="s">
        <v>43</v>
      </c>
      <c r="F4" s="261">
        <v>137417</v>
      </c>
      <c r="G4" s="261">
        <v>6487</v>
      </c>
      <c r="H4" s="313">
        <v>10835</v>
      </c>
      <c r="I4" s="313">
        <v>1257.2820000000002</v>
      </c>
      <c r="J4" s="261">
        <f t="shared" si="0"/>
        <v>130930</v>
      </c>
      <c r="K4" s="175">
        <f t="shared" si="1"/>
        <v>12.083987078910937</v>
      </c>
      <c r="L4" s="177">
        <f t="shared" si="2"/>
        <v>0.28996331789756413</v>
      </c>
      <c r="M4" s="177">
        <f t="shared" si="3"/>
        <v>4.7206677485318413E-2</v>
      </c>
      <c r="N4" s="176">
        <f t="shared" si="4"/>
        <v>1.3278158630692325</v>
      </c>
      <c r="O4" s="178">
        <f t="shared" si="5"/>
        <v>8.6177961666515532</v>
      </c>
      <c r="P4" s="263"/>
      <c r="Q4" t="s">
        <v>126</v>
      </c>
    </row>
    <row r="5" spans="1:17" x14ac:dyDescent="0.25">
      <c r="A5" s="335" t="s">
        <v>77</v>
      </c>
      <c r="B5" s="172">
        <v>223</v>
      </c>
      <c r="C5" s="261"/>
      <c r="D5" s="261" t="s">
        <v>16</v>
      </c>
      <c r="E5" s="261" t="s">
        <v>23</v>
      </c>
      <c r="F5" s="261">
        <v>661660</v>
      </c>
      <c r="G5" s="261">
        <v>17931</v>
      </c>
      <c r="H5" s="313">
        <v>28596</v>
      </c>
      <c r="I5" s="313">
        <v>5299.2</v>
      </c>
      <c r="J5" s="261">
        <f t="shared" si="0"/>
        <v>643729</v>
      </c>
      <c r="K5" s="175">
        <f t="shared" si="1"/>
        <v>22.511155406350539</v>
      </c>
      <c r="L5" s="177">
        <f t="shared" si="2"/>
        <v>0.64003298628610428</v>
      </c>
      <c r="M5" s="177">
        <f t="shared" si="3"/>
        <v>2.7100021158903365E-2</v>
      </c>
      <c r="N5" s="176">
        <f t="shared" si="4"/>
        <v>0.60669585037075502</v>
      </c>
      <c r="O5" s="178">
        <f t="shared" si="5"/>
        <v>5.3962862318840585</v>
      </c>
      <c r="P5" s="263"/>
      <c r="Q5" t="s">
        <v>126</v>
      </c>
    </row>
    <row r="6" spans="1:17" x14ac:dyDescent="0.25">
      <c r="A6" s="335" t="s">
        <v>77</v>
      </c>
      <c r="B6" s="172">
        <v>223</v>
      </c>
      <c r="C6" s="261"/>
      <c r="D6" s="261" t="s">
        <v>16</v>
      </c>
      <c r="E6" s="261" t="s">
        <v>43</v>
      </c>
      <c r="F6" s="261">
        <v>56760</v>
      </c>
      <c r="G6" s="261">
        <v>904</v>
      </c>
      <c r="H6" s="313">
        <v>1604</v>
      </c>
      <c r="I6" s="313">
        <v>431.20000000000005</v>
      </c>
      <c r="J6" s="261">
        <f t="shared" si="0"/>
        <v>55856</v>
      </c>
      <c r="K6" s="175">
        <f t="shared" si="1"/>
        <v>34.822942643391521</v>
      </c>
      <c r="L6" s="177">
        <f t="shared" si="2"/>
        <v>0.83559970081864732</v>
      </c>
      <c r="M6" s="177">
        <f t="shared" si="3"/>
        <v>1.5926708949964764E-2</v>
      </c>
      <c r="N6" s="176">
        <f t="shared" si="4"/>
        <v>0.44798189401969712</v>
      </c>
      <c r="O6" s="178">
        <f t="shared" si="5"/>
        <v>3.7198515769944338</v>
      </c>
      <c r="P6" s="263"/>
      <c r="Q6" t="s">
        <v>126</v>
      </c>
    </row>
    <row r="7" spans="1:17" x14ac:dyDescent="0.25">
      <c r="A7" s="335" t="s">
        <v>77</v>
      </c>
      <c r="B7" s="172">
        <v>225</v>
      </c>
      <c r="C7" s="261"/>
      <c r="D7" s="261" t="s">
        <v>16</v>
      </c>
      <c r="E7" s="261" t="s">
        <v>23</v>
      </c>
      <c r="F7" s="261">
        <v>234808</v>
      </c>
      <c r="G7" s="261">
        <v>11541</v>
      </c>
      <c r="H7" s="313">
        <v>15651</v>
      </c>
      <c r="I7" s="313">
        <v>1915.6480000000001</v>
      </c>
      <c r="J7" s="261">
        <f t="shared" si="0"/>
        <v>223267</v>
      </c>
      <c r="K7" s="175">
        <f t="shared" si="1"/>
        <v>14.265350456839819</v>
      </c>
      <c r="L7" s="177">
        <f t="shared" si="2"/>
        <v>0.40558979263824535</v>
      </c>
      <c r="M7" s="177">
        <f t="shared" si="3"/>
        <v>4.9150795543593064E-2</v>
      </c>
      <c r="N7" s="176">
        <f t="shared" si="4"/>
        <v>1.1003527828952437</v>
      </c>
      <c r="O7" s="178">
        <f t="shared" si="5"/>
        <v>8.1700813510624073</v>
      </c>
      <c r="P7" s="263"/>
      <c r="Q7" t="s">
        <v>126</v>
      </c>
    </row>
    <row r="8" spans="1:17" x14ac:dyDescent="0.25">
      <c r="A8" s="335" t="s">
        <v>77</v>
      </c>
      <c r="B8" s="172">
        <v>225</v>
      </c>
      <c r="C8" s="261"/>
      <c r="D8" s="261" t="s">
        <v>16</v>
      </c>
      <c r="E8" s="261" t="s">
        <v>43</v>
      </c>
      <c r="F8" s="261">
        <v>41578</v>
      </c>
      <c r="G8" s="261">
        <v>661</v>
      </c>
      <c r="H8" s="313">
        <v>2138</v>
      </c>
      <c r="I8" s="313">
        <v>336.58200000000005</v>
      </c>
      <c r="J8" s="261">
        <f t="shared" si="0"/>
        <v>40917</v>
      </c>
      <c r="K8" s="175">
        <f t="shared" si="1"/>
        <v>19.137979420018709</v>
      </c>
      <c r="L8" s="177">
        <f t="shared" si="2"/>
        <v>0.45922856208350515</v>
      </c>
      <c r="M8" s="177">
        <f t="shared" si="3"/>
        <v>1.589783058348165E-2</v>
      </c>
      <c r="N8" s="176">
        <f t="shared" si="4"/>
        <v>0.4471696116232558</v>
      </c>
      <c r="O8" s="178">
        <f t="shared" si="5"/>
        <v>6.3520925064323102</v>
      </c>
      <c r="P8" s="263"/>
      <c r="Q8" t="s">
        <v>126</v>
      </c>
    </row>
    <row r="9" spans="1:17" x14ac:dyDescent="0.25">
      <c r="A9" s="335" t="s">
        <v>77</v>
      </c>
      <c r="B9" s="172">
        <v>227</v>
      </c>
      <c r="C9" s="261"/>
      <c r="D9" s="261" t="s">
        <v>16</v>
      </c>
      <c r="E9" s="261" t="s">
        <v>23</v>
      </c>
      <c r="F9" s="261">
        <v>222650</v>
      </c>
      <c r="G9" s="261">
        <v>6676</v>
      </c>
      <c r="H9" s="313">
        <v>9651</v>
      </c>
      <c r="I9" s="313">
        <v>1800.4480000000001</v>
      </c>
      <c r="J9" s="261">
        <f t="shared" si="0"/>
        <v>215974</v>
      </c>
      <c r="K9" s="175">
        <f t="shared" si="1"/>
        <v>22.378406382758264</v>
      </c>
      <c r="L9" s="177">
        <f t="shared" si="2"/>
        <v>0.63625869072185437</v>
      </c>
      <c r="M9" s="177">
        <f t="shared" si="3"/>
        <v>2.9984280260498541E-2</v>
      </c>
      <c r="N9" s="176">
        <f t="shared" si="4"/>
        <v>0.67126657590898864</v>
      </c>
      <c r="O9" s="178">
        <f t="shared" si="5"/>
        <v>5.360332539456846</v>
      </c>
      <c r="P9" s="263"/>
      <c r="Q9" t="s">
        <v>126</v>
      </c>
    </row>
    <row r="10" spans="1:17" x14ac:dyDescent="0.25">
      <c r="A10" s="335" t="s">
        <v>77</v>
      </c>
      <c r="B10" s="172">
        <v>227</v>
      </c>
      <c r="C10" s="261"/>
      <c r="D10" s="261" t="s">
        <v>16</v>
      </c>
      <c r="E10" s="261" t="s">
        <v>43</v>
      </c>
      <c r="F10" s="261">
        <v>41578</v>
      </c>
      <c r="G10" s="261">
        <v>574</v>
      </c>
      <c r="H10" s="313">
        <v>1666</v>
      </c>
      <c r="I10" s="313">
        <v>336.58200000000005</v>
      </c>
      <c r="J10" s="261">
        <f t="shared" si="0"/>
        <v>41004</v>
      </c>
      <c r="K10" s="175">
        <f t="shared" si="1"/>
        <v>24.612244897959183</v>
      </c>
      <c r="L10" s="177">
        <f t="shared" si="2"/>
        <v>0.59058720808917209</v>
      </c>
      <c r="M10" s="177">
        <f t="shared" si="3"/>
        <v>1.3805377844052143E-2</v>
      </c>
      <c r="N10" s="176">
        <f t="shared" si="4"/>
        <v>0.38831370207526295</v>
      </c>
      <c r="O10" s="178">
        <f t="shared" si="5"/>
        <v>4.9497596425239605</v>
      </c>
      <c r="P10" s="263"/>
      <c r="Q10" t="s">
        <v>126</v>
      </c>
    </row>
    <row r="11" spans="1:17" x14ac:dyDescent="0.25">
      <c r="A11" s="335" t="s">
        <v>77</v>
      </c>
      <c r="B11" s="172">
        <v>323</v>
      </c>
      <c r="C11" s="261"/>
      <c r="D11" s="261" t="s">
        <v>16</v>
      </c>
      <c r="E11" s="261" t="s">
        <v>23</v>
      </c>
      <c r="F11" s="261">
        <v>860758</v>
      </c>
      <c r="G11" s="261">
        <v>35371</v>
      </c>
      <c r="H11" s="313">
        <v>57031</v>
      </c>
      <c r="I11" s="313">
        <v>6438.4</v>
      </c>
      <c r="J11" s="261">
        <f t="shared" si="0"/>
        <v>825387</v>
      </c>
      <c r="K11" s="175">
        <f t="shared" si="1"/>
        <v>14.472602619627922</v>
      </c>
      <c r="L11" s="177">
        <f t="shared" si="2"/>
        <v>0.41148234760795172</v>
      </c>
      <c r="M11" s="177">
        <f t="shared" si="3"/>
        <v>4.1092850719946838E-2</v>
      </c>
      <c r="N11" s="176">
        <f t="shared" si="4"/>
        <v>0.91995728953539668</v>
      </c>
      <c r="O11" s="178">
        <f t="shared" si="5"/>
        <v>8.857946073558649</v>
      </c>
      <c r="P11" s="263"/>
      <c r="Q11" t="s">
        <v>126</v>
      </c>
    </row>
    <row r="12" spans="1:17" x14ac:dyDescent="0.25">
      <c r="A12" s="335" t="s">
        <v>77</v>
      </c>
      <c r="B12" s="172">
        <v>323</v>
      </c>
      <c r="C12" s="261"/>
      <c r="D12" s="261" t="s">
        <v>16</v>
      </c>
      <c r="E12" s="261" t="s">
        <v>43</v>
      </c>
      <c r="F12" s="261">
        <v>170587</v>
      </c>
      <c r="G12" s="261">
        <v>4115</v>
      </c>
      <c r="H12" s="313">
        <v>8627</v>
      </c>
      <c r="I12" s="313">
        <v>1280.8800000000001</v>
      </c>
      <c r="J12" s="261">
        <f t="shared" si="0"/>
        <v>166472</v>
      </c>
      <c r="K12" s="175">
        <f t="shared" si="1"/>
        <v>19.296626869131796</v>
      </c>
      <c r="L12" s="177">
        <f t="shared" si="2"/>
        <v>0.46303541328422337</v>
      </c>
      <c r="M12" s="177">
        <f t="shared" si="3"/>
        <v>2.4122588473916535E-2</v>
      </c>
      <c r="N12" s="176">
        <f t="shared" si="4"/>
        <v>0.67851323880862102</v>
      </c>
      <c r="O12" s="178">
        <f t="shared" si="5"/>
        <v>6.7352132908625313</v>
      </c>
      <c r="P12" s="263"/>
      <c r="Q12" t="s">
        <v>126</v>
      </c>
    </row>
    <row r="13" spans="1:17" x14ac:dyDescent="0.25">
      <c r="A13" s="335" t="s">
        <v>77</v>
      </c>
      <c r="B13" s="172">
        <v>323</v>
      </c>
      <c r="C13" s="261"/>
      <c r="D13" s="261" t="s">
        <v>16</v>
      </c>
      <c r="E13" s="261" t="s">
        <v>44</v>
      </c>
      <c r="F13" s="261">
        <v>171517</v>
      </c>
      <c r="G13" s="261">
        <v>3114</v>
      </c>
      <c r="H13" s="313">
        <v>7602</v>
      </c>
      <c r="I13" s="313">
        <v>1248.7399999999998</v>
      </c>
      <c r="J13" s="261">
        <f t="shared" si="0"/>
        <v>168403</v>
      </c>
      <c r="K13" s="175">
        <f t="shared" si="1"/>
        <v>22.152459878979215</v>
      </c>
      <c r="L13" s="177">
        <f t="shared" si="2"/>
        <v>0.4375912033087383</v>
      </c>
      <c r="M13" s="177">
        <f t="shared" si="3"/>
        <v>1.8155634718424414E-2</v>
      </c>
      <c r="N13" s="176">
        <f t="shared" si="4"/>
        <v>0.65107697674378173</v>
      </c>
      <c r="O13" s="178">
        <f t="shared" si="5"/>
        <v>6.0877364383298378</v>
      </c>
      <c r="P13" s="263"/>
      <c r="Q13" t="s">
        <v>126</v>
      </c>
    </row>
    <row r="14" spans="1:17" x14ac:dyDescent="0.25">
      <c r="A14" s="335" t="s">
        <v>8</v>
      </c>
      <c r="B14" s="172">
        <v>425</v>
      </c>
      <c r="C14" s="261" t="s">
        <v>73</v>
      </c>
      <c r="D14" s="261" t="s">
        <v>16</v>
      </c>
      <c r="E14" s="261" t="s">
        <v>23</v>
      </c>
      <c r="F14" s="261">
        <v>1428342.12</v>
      </c>
      <c r="G14" s="261">
        <v>33973.03</v>
      </c>
      <c r="H14" s="313">
        <v>19371</v>
      </c>
      <c r="I14" s="313">
        <v>6494.6</v>
      </c>
      <c r="J14" s="261">
        <f t="shared" si="0"/>
        <v>1394369.09</v>
      </c>
      <c r="K14" s="175">
        <f t="shared" si="1"/>
        <v>71.982297764699808</v>
      </c>
      <c r="L14" s="336">
        <f t="shared" si="2"/>
        <v>2.04658731044429</v>
      </c>
      <c r="M14" s="336">
        <f t="shared" si="3"/>
        <v>2.378493886324657E-2</v>
      </c>
      <c r="N14" s="337">
        <f t="shared" si="4"/>
        <v>0.53248016394676989</v>
      </c>
      <c r="O14" s="178">
        <f t="shared" si="5"/>
        <v>2.9826317248175407</v>
      </c>
      <c r="P14" s="338"/>
      <c r="Q14" t="s">
        <v>126</v>
      </c>
    </row>
    <row r="15" spans="1:17" x14ac:dyDescent="0.25">
      <c r="A15" s="335" t="s">
        <v>8</v>
      </c>
      <c r="B15" s="172">
        <v>444</v>
      </c>
      <c r="C15" s="261"/>
      <c r="D15" s="261" t="s">
        <v>16</v>
      </c>
      <c r="E15" s="261" t="s">
        <v>23</v>
      </c>
      <c r="F15" s="261">
        <v>2903890.86</v>
      </c>
      <c r="G15" s="261">
        <v>210395.65</v>
      </c>
      <c r="H15" s="313">
        <v>119965</v>
      </c>
      <c r="I15" s="313">
        <v>14740.890000000003</v>
      </c>
      <c r="J15" s="261">
        <f t="shared" si="0"/>
        <v>2693495.21</v>
      </c>
      <c r="K15" s="175">
        <f t="shared" si="1"/>
        <v>22.452342016421454</v>
      </c>
      <c r="L15" s="336">
        <f t="shared" si="2"/>
        <v>0.63836081491549113</v>
      </c>
      <c r="M15" s="336">
        <f t="shared" si="3"/>
        <v>7.2453015675664895E-2</v>
      </c>
      <c r="N15" s="337">
        <f t="shared" si="4"/>
        <v>1.6220261858663407</v>
      </c>
      <c r="O15" s="178">
        <f t="shared" si="5"/>
        <v>8.1382467408684267</v>
      </c>
      <c r="P15" s="338"/>
      <c r="Q15" t="s">
        <v>126</v>
      </c>
    </row>
    <row r="16" spans="1:17" x14ac:dyDescent="0.25">
      <c r="A16" s="335" t="s">
        <v>8</v>
      </c>
      <c r="B16" s="172">
        <v>444</v>
      </c>
      <c r="C16" s="261"/>
      <c r="D16" s="261" t="s">
        <v>16</v>
      </c>
      <c r="E16" s="261" t="s">
        <v>43</v>
      </c>
      <c r="F16" s="261">
        <v>597513.03</v>
      </c>
      <c r="G16" s="261">
        <v>38431.21</v>
      </c>
      <c r="H16" s="313">
        <v>21913</v>
      </c>
      <c r="I16" s="313">
        <v>2811.0399999999995</v>
      </c>
      <c r="J16" s="261">
        <f t="shared" si="0"/>
        <v>559081.82000000007</v>
      </c>
      <c r="K16" s="175">
        <f t="shared" si="1"/>
        <v>25.513705106557754</v>
      </c>
      <c r="L16" s="336">
        <f t="shared" si="2"/>
        <v>0.61221834616726989</v>
      </c>
      <c r="M16" s="336">
        <f t="shared" si="3"/>
        <v>6.4318614106206179E-2</v>
      </c>
      <c r="N16" s="337">
        <f t="shared" si="4"/>
        <v>1.809135500531891</v>
      </c>
      <c r="O16" s="178">
        <f t="shared" si="5"/>
        <v>7.7953355341795225</v>
      </c>
      <c r="P16" s="338"/>
      <c r="Q16" t="s">
        <v>126</v>
      </c>
    </row>
    <row r="17" spans="1:17" x14ac:dyDescent="0.25">
      <c r="A17" s="335" t="s">
        <v>8</v>
      </c>
      <c r="B17" s="172">
        <v>444</v>
      </c>
      <c r="C17" s="261"/>
      <c r="D17" s="261" t="s">
        <v>16</v>
      </c>
      <c r="E17" s="261" t="s">
        <v>44</v>
      </c>
      <c r="F17" s="261">
        <v>609634.56999999995</v>
      </c>
      <c r="G17" s="261">
        <v>31845.66</v>
      </c>
      <c r="H17" s="313">
        <v>18158</v>
      </c>
      <c r="I17" s="313">
        <v>2867.8099999999995</v>
      </c>
      <c r="J17" s="261">
        <f t="shared" si="0"/>
        <v>577788.90999999992</v>
      </c>
      <c r="K17" s="175">
        <f t="shared" si="1"/>
        <v>31.820074347395082</v>
      </c>
      <c r="L17" s="336">
        <f t="shared" si="2"/>
        <v>0.62856155474918551</v>
      </c>
      <c r="M17" s="336">
        <f t="shared" si="3"/>
        <v>5.2237293564241283E-2</v>
      </c>
      <c r="N17" s="337">
        <f t="shared" si="4"/>
        <v>1.873275139897457</v>
      </c>
      <c r="O17" s="178">
        <f t="shared" si="5"/>
        <v>6.3316607446099997</v>
      </c>
      <c r="P17" s="338"/>
      <c r="Q17" t="s">
        <v>126</v>
      </c>
    </row>
    <row r="18" spans="1:17" x14ac:dyDescent="0.25">
      <c r="A18" s="335" t="s">
        <v>8</v>
      </c>
      <c r="B18" s="172">
        <v>445</v>
      </c>
      <c r="C18" s="261"/>
      <c r="D18" s="261" t="s">
        <v>16</v>
      </c>
      <c r="E18" s="261" t="s">
        <v>43</v>
      </c>
      <c r="F18" s="261">
        <v>195332.58</v>
      </c>
      <c r="G18" s="261">
        <v>7236.21</v>
      </c>
      <c r="H18" s="313">
        <v>4126</v>
      </c>
      <c r="I18" s="313">
        <v>731.2</v>
      </c>
      <c r="J18" s="261">
        <f t="shared" si="0"/>
        <v>188096.37</v>
      </c>
      <c r="K18" s="175">
        <f t="shared" si="1"/>
        <v>45.588068347067377</v>
      </c>
      <c r="L18" s="336">
        <f t="shared" si="2"/>
        <v>1.0939160616553658</v>
      </c>
      <c r="M18" s="336">
        <f t="shared" si="3"/>
        <v>3.7045586558064204E-2</v>
      </c>
      <c r="N18" s="337">
        <f t="shared" si="4"/>
        <v>1.0420076164818062</v>
      </c>
      <c r="O18" s="178">
        <f t="shared" si="5"/>
        <v>5.6427789934354484</v>
      </c>
      <c r="P18" s="338"/>
      <c r="Q18" t="s">
        <v>126</v>
      </c>
    </row>
    <row r="19" spans="1:17" x14ac:dyDescent="0.25">
      <c r="A19" s="335" t="s">
        <v>8</v>
      </c>
      <c r="B19" s="172">
        <v>445</v>
      </c>
      <c r="C19" s="261"/>
      <c r="D19" s="261" t="s">
        <v>16</v>
      </c>
      <c r="E19" s="261" t="s">
        <v>44</v>
      </c>
      <c r="F19" s="261">
        <v>199617.71</v>
      </c>
      <c r="G19" s="261">
        <v>5780.55</v>
      </c>
      <c r="H19" s="313">
        <v>3296</v>
      </c>
      <c r="I19" s="313">
        <v>744.2</v>
      </c>
      <c r="J19" s="261">
        <f t="shared" si="0"/>
        <v>193837.16</v>
      </c>
      <c r="K19" s="175">
        <f t="shared" si="1"/>
        <v>58.809817961165052</v>
      </c>
      <c r="L19" s="336">
        <f t="shared" si="2"/>
        <v>1.1617066072384155</v>
      </c>
      <c r="M19" s="336">
        <f t="shared" si="3"/>
        <v>2.8958101963999089E-2</v>
      </c>
      <c r="N19" s="337">
        <f t="shared" si="4"/>
        <v>1.0384629219173276</v>
      </c>
      <c r="O19" s="178">
        <f t="shared" si="5"/>
        <v>4.4289169578070409</v>
      </c>
      <c r="P19" s="338"/>
      <c r="Q19" t="s">
        <v>126</v>
      </c>
    </row>
    <row r="20" spans="1:17" x14ac:dyDescent="0.25">
      <c r="A20" s="335" t="s">
        <v>8</v>
      </c>
      <c r="B20" s="172">
        <v>446</v>
      </c>
      <c r="C20" s="261"/>
      <c r="D20" s="261" t="s">
        <v>16</v>
      </c>
      <c r="E20" s="261" t="s">
        <v>23</v>
      </c>
      <c r="F20" s="261">
        <v>1497395.76</v>
      </c>
      <c r="G20" s="261">
        <v>73468.800000000003</v>
      </c>
      <c r="H20" s="313">
        <v>41891</v>
      </c>
      <c r="I20" s="313">
        <v>6966.3500000000013</v>
      </c>
      <c r="J20" s="261">
        <f t="shared" si="0"/>
        <v>1423926.96</v>
      </c>
      <c r="K20" s="175">
        <f t="shared" si="1"/>
        <v>33.991238213458736</v>
      </c>
      <c r="L20" s="336">
        <f t="shared" si="2"/>
        <v>0.96643256681462786</v>
      </c>
      <c r="M20" s="336">
        <f t="shared" si="3"/>
        <v>4.9064383620266161E-2</v>
      </c>
      <c r="N20" s="337">
        <f t="shared" si="4"/>
        <v>1.0984182546896168</v>
      </c>
      <c r="O20" s="178">
        <f t="shared" si="5"/>
        <v>6.0133355343903183</v>
      </c>
      <c r="P20" s="338"/>
      <c r="Q20" t="s">
        <v>126</v>
      </c>
    </row>
    <row r="21" spans="1:17" x14ac:dyDescent="0.25">
      <c r="A21" s="335" t="s">
        <v>8</v>
      </c>
      <c r="B21" s="172">
        <v>446</v>
      </c>
      <c r="C21" s="261"/>
      <c r="D21" s="261" t="s">
        <v>16</v>
      </c>
      <c r="E21" s="261" t="s">
        <v>43</v>
      </c>
      <c r="F21" s="261">
        <v>160903.13</v>
      </c>
      <c r="G21" s="261">
        <v>6924.04</v>
      </c>
      <c r="H21" s="313">
        <v>3948</v>
      </c>
      <c r="I21" s="313">
        <v>643.68000000000006</v>
      </c>
      <c r="J21" s="261">
        <f t="shared" si="0"/>
        <v>153979.09</v>
      </c>
      <c r="K21" s="175">
        <f t="shared" si="1"/>
        <v>39.001795845997975</v>
      </c>
      <c r="L21" s="336">
        <f t="shared" si="2"/>
        <v>0.93587406653270222</v>
      </c>
      <c r="M21" s="336">
        <f t="shared" si="3"/>
        <v>4.3032351204106471E-2</v>
      </c>
      <c r="N21" s="337">
        <f t="shared" si="4"/>
        <v>1.2104016126055384</v>
      </c>
      <c r="O21" s="178">
        <f t="shared" si="5"/>
        <v>6.133482475764354</v>
      </c>
      <c r="P21" s="338"/>
      <c r="Q21" t="s">
        <v>126</v>
      </c>
    </row>
    <row r="22" spans="1:17" x14ac:dyDescent="0.25">
      <c r="A22" s="335" t="s">
        <v>8</v>
      </c>
      <c r="B22" s="172">
        <v>446</v>
      </c>
      <c r="C22" s="261"/>
      <c r="D22" s="261" t="s">
        <v>16</v>
      </c>
      <c r="E22" s="261" t="s">
        <v>44</v>
      </c>
      <c r="F22" s="261">
        <v>163978.98000000001</v>
      </c>
      <c r="G22" s="261">
        <v>6399.65</v>
      </c>
      <c r="H22" s="313">
        <v>3649</v>
      </c>
      <c r="I22" s="313">
        <v>655.6</v>
      </c>
      <c r="J22" s="261">
        <f t="shared" si="0"/>
        <v>157579.33000000002</v>
      </c>
      <c r="K22" s="175">
        <f t="shared" si="1"/>
        <v>43.184250479583454</v>
      </c>
      <c r="L22" s="336">
        <f t="shared" si="2"/>
        <v>0.85304513514901159</v>
      </c>
      <c r="M22" s="336">
        <f t="shared" si="3"/>
        <v>3.9027258249807378E-2</v>
      </c>
      <c r="N22" s="337">
        <f t="shared" si="4"/>
        <v>1.3995516932325964</v>
      </c>
      <c r="O22" s="178">
        <f t="shared" si="5"/>
        <v>5.5658938377059179</v>
      </c>
      <c r="P22" s="338"/>
      <c r="Q22" t="s">
        <v>126</v>
      </c>
    </row>
    <row r="23" spans="1:17" x14ac:dyDescent="0.25">
      <c r="A23" s="335" t="s">
        <v>8</v>
      </c>
      <c r="B23" s="172">
        <v>447</v>
      </c>
      <c r="C23" s="261"/>
      <c r="D23" s="261" t="s">
        <v>16</v>
      </c>
      <c r="E23" s="261" t="s">
        <v>23</v>
      </c>
      <c r="F23" s="261">
        <v>607818.37</v>
      </c>
      <c r="G23" s="261">
        <v>18841.169999999998</v>
      </c>
      <c r="H23" s="313">
        <v>10743</v>
      </c>
      <c r="I23" s="313">
        <v>3160.69</v>
      </c>
      <c r="J23" s="261">
        <f t="shared" si="0"/>
        <v>588977.19999999995</v>
      </c>
      <c r="K23" s="175">
        <f t="shared" si="1"/>
        <v>54.8242762729219</v>
      </c>
      <c r="L23" s="336">
        <f t="shared" si="2"/>
        <v>1.5587536326115756</v>
      </c>
      <c r="M23" s="336">
        <f t="shared" si="3"/>
        <v>3.0998026597978602E-2</v>
      </c>
      <c r="N23" s="337">
        <f t="shared" si="4"/>
        <v>0.69396160233245119</v>
      </c>
      <c r="O23" s="178">
        <f t="shared" si="5"/>
        <v>3.3989413703969702</v>
      </c>
      <c r="P23" s="338"/>
      <c r="Q23" t="s">
        <v>126</v>
      </c>
    </row>
    <row r="24" spans="1:17" x14ac:dyDescent="0.25">
      <c r="A24" s="335" t="s">
        <v>8</v>
      </c>
      <c r="B24" s="172">
        <v>447</v>
      </c>
      <c r="C24" s="261"/>
      <c r="D24" s="261" t="s">
        <v>16</v>
      </c>
      <c r="E24" s="261" t="s">
        <v>43</v>
      </c>
      <c r="F24" s="261">
        <v>140882.97</v>
      </c>
      <c r="G24" s="261">
        <v>3616.35</v>
      </c>
      <c r="H24" s="313">
        <v>2062</v>
      </c>
      <c r="I24" s="313">
        <v>673.92</v>
      </c>
      <c r="J24" s="261">
        <f t="shared" si="0"/>
        <v>137266.62</v>
      </c>
      <c r="K24" s="175">
        <f t="shared" si="1"/>
        <v>66.569650824442292</v>
      </c>
      <c r="L24" s="336">
        <f t="shared" si="2"/>
        <v>1.5973831069403339</v>
      </c>
      <c r="M24" s="336">
        <f t="shared" si="3"/>
        <v>2.566917775796464E-2</v>
      </c>
      <c r="N24" s="337">
        <f t="shared" si="4"/>
        <v>0.72201525789587073</v>
      </c>
      <c r="O24" s="178">
        <f t="shared" si="5"/>
        <v>3.0597103513770181</v>
      </c>
      <c r="P24" s="338"/>
      <c r="Q24" t="s">
        <v>126</v>
      </c>
    </row>
    <row r="25" spans="1:17" x14ac:dyDescent="0.25">
      <c r="A25" s="335" t="s">
        <v>8</v>
      </c>
      <c r="B25" s="172">
        <v>447</v>
      </c>
      <c r="C25" s="261"/>
      <c r="D25" s="261" t="s">
        <v>16</v>
      </c>
      <c r="E25" s="261" t="s">
        <v>44</v>
      </c>
      <c r="F25" s="261">
        <v>143516.91</v>
      </c>
      <c r="G25" s="261">
        <v>2879.75</v>
      </c>
      <c r="H25" s="313">
        <v>1642</v>
      </c>
      <c r="I25" s="313">
        <v>687.13</v>
      </c>
      <c r="J25" s="261">
        <f t="shared" si="0"/>
        <v>140637.16</v>
      </c>
      <c r="K25" s="175">
        <f t="shared" si="1"/>
        <v>85.649914738124238</v>
      </c>
      <c r="L25" s="336">
        <f t="shared" si="2"/>
        <v>1.6918955934601014</v>
      </c>
      <c r="M25" s="336">
        <f t="shared" si="3"/>
        <v>2.0065579728549061E-2</v>
      </c>
      <c r="N25" s="337">
        <f t="shared" si="4"/>
        <v>0.71956927911847623</v>
      </c>
      <c r="O25" s="178">
        <f t="shared" si="5"/>
        <v>2.3896497023852836</v>
      </c>
      <c r="P25" s="338"/>
      <c r="Q25" t="s">
        <v>126</v>
      </c>
    </row>
    <row r="26" spans="1:17" x14ac:dyDescent="0.25">
      <c r="A26" s="335" t="s">
        <v>8</v>
      </c>
      <c r="B26" s="172">
        <v>495</v>
      </c>
      <c r="C26" s="261"/>
      <c r="D26" s="261" t="s">
        <v>61</v>
      </c>
      <c r="E26" s="261" t="s">
        <v>23</v>
      </c>
      <c r="F26" s="261">
        <v>1583846.89</v>
      </c>
      <c r="G26" s="261">
        <v>99826.79</v>
      </c>
      <c r="H26" s="313">
        <v>56920</v>
      </c>
      <c r="I26" s="313">
        <v>7409.2799999999988</v>
      </c>
      <c r="J26" s="261">
        <f t="shared" si="0"/>
        <v>1484020.0999999999</v>
      </c>
      <c r="K26" s="175">
        <f t="shared" si="1"/>
        <v>26.072032677442021</v>
      </c>
      <c r="L26" s="336">
        <f t="shared" si="2"/>
        <v>0.74127518698505424</v>
      </c>
      <c r="M26" s="336">
        <f t="shared" si="3"/>
        <v>6.3028055697984794E-2</v>
      </c>
      <c r="N26" s="337">
        <f t="shared" si="4"/>
        <v>1.4110269370155568</v>
      </c>
      <c r="O26" s="178">
        <f t="shared" si="5"/>
        <v>7.6822579251965113</v>
      </c>
      <c r="P26" s="339" t="s">
        <v>131</v>
      </c>
      <c r="Q26" t="s">
        <v>126</v>
      </c>
    </row>
    <row r="27" spans="1:17" x14ac:dyDescent="0.25">
      <c r="A27" s="335" t="s">
        <v>8</v>
      </c>
      <c r="B27" s="172">
        <v>495</v>
      </c>
      <c r="C27" s="261"/>
      <c r="D27" s="261" t="s">
        <v>61</v>
      </c>
      <c r="E27" s="261" t="s">
        <v>43</v>
      </c>
      <c r="F27" s="261">
        <v>373901.12</v>
      </c>
      <c r="G27" s="261">
        <v>18665.79</v>
      </c>
      <c r="H27" s="313">
        <v>10643</v>
      </c>
      <c r="I27" s="313">
        <v>1574.6999999999998</v>
      </c>
      <c r="J27" s="261">
        <f t="shared" si="0"/>
        <v>355235.33</v>
      </c>
      <c r="K27" s="175">
        <f t="shared" si="1"/>
        <v>33.377368223245327</v>
      </c>
      <c r="L27" s="336">
        <f t="shared" si="2"/>
        <v>0.80091217985423269</v>
      </c>
      <c r="M27" s="336">
        <f t="shared" si="3"/>
        <v>4.9921727969148635E-2</v>
      </c>
      <c r="N27" s="337">
        <f t="shared" si="4"/>
        <v>1.4041840231157592</v>
      </c>
      <c r="O27" s="178">
        <f t="shared" si="5"/>
        <v>6.7587476979742185</v>
      </c>
      <c r="P27" s="338"/>
      <c r="Q27" t="s">
        <v>126</v>
      </c>
    </row>
    <row r="28" spans="1:17" x14ac:dyDescent="0.25">
      <c r="A28" s="335" t="s">
        <v>8</v>
      </c>
      <c r="B28" s="172">
        <v>495</v>
      </c>
      <c r="C28" s="261"/>
      <c r="D28" s="261" t="s">
        <v>61</v>
      </c>
      <c r="E28" s="261" t="s">
        <v>44</v>
      </c>
      <c r="F28" s="261">
        <v>401732.16</v>
      </c>
      <c r="G28" s="261">
        <v>16897.95</v>
      </c>
      <c r="H28" s="313">
        <v>9635</v>
      </c>
      <c r="I28" s="313">
        <v>1694.5899999999997</v>
      </c>
      <c r="J28" s="261">
        <f t="shared" si="0"/>
        <v>384834.20999999996</v>
      </c>
      <c r="K28" s="175">
        <f t="shared" si="1"/>
        <v>39.941277633627394</v>
      </c>
      <c r="L28" s="336">
        <f t="shared" si="2"/>
        <v>0.78898469230374202</v>
      </c>
      <c r="M28" s="336">
        <f t="shared" si="3"/>
        <v>4.2062726568866185E-2</v>
      </c>
      <c r="N28" s="337">
        <f t="shared" si="4"/>
        <v>1.5084062481311236</v>
      </c>
      <c r="O28" s="178">
        <f t="shared" si="5"/>
        <v>5.685741093715885</v>
      </c>
      <c r="P28" s="338"/>
      <c r="Q28" s="5" t="s">
        <v>126</v>
      </c>
    </row>
    <row r="29" spans="1:17" x14ac:dyDescent="0.25">
      <c r="A29" s="335" t="s">
        <v>8</v>
      </c>
      <c r="B29" s="172">
        <v>497</v>
      </c>
      <c r="C29" s="261"/>
      <c r="D29" s="261" t="s">
        <v>16</v>
      </c>
      <c r="E29" s="261" t="s">
        <v>23</v>
      </c>
      <c r="F29" s="261">
        <v>819845.96</v>
      </c>
      <c r="G29" s="261">
        <v>17027.73</v>
      </c>
      <c r="H29" s="313">
        <v>9709</v>
      </c>
      <c r="I29" s="313">
        <v>3816.5299999999997</v>
      </c>
      <c r="J29" s="261">
        <f t="shared" si="0"/>
        <v>802818.23</v>
      </c>
      <c r="K29" s="175">
        <f t="shared" si="1"/>
        <v>82.68804511278195</v>
      </c>
      <c r="L29" s="336">
        <f t="shared" si="2"/>
        <v>2.3509711291302269</v>
      </c>
      <c r="M29" s="336">
        <f t="shared" si="3"/>
        <v>2.0769426002904254E-2</v>
      </c>
      <c r="N29" s="337">
        <f t="shared" si="4"/>
        <v>0.46497102333090468</v>
      </c>
      <c r="O29" s="178">
        <f t="shared" si="5"/>
        <v>2.5439338875889881</v>
      </c>
      <c r="P29" s="338" t="s">
        <v>112</v>
      </c>
      <c r="Q29" t="s">
        <v>126</v>
      </c>
    </row>
    <row r="30" spans="1:17" x14ac:dyDescent="0.25">
      <c r="A30" s="335" t="s">
        <v>8</v>
      </c>
      <c r="B30" s="172">
        <v>499</v>
      </c>
      <c r="C30" s="261"/>
      <c r="D30" s="261" t="s">
        <v>16</v>
      </c>
      <c r="E30" s="261" t="s">
        <v>23</v>
      </c>
      <c r="F30" s="261">
        <v>1467354.24</v>
      </c>
      <c r="G30" s="261">
        <v>17839.740000000002</v>
      </c>
      <c r="H30" s="313">
        <v>10172</v>
      </c>
      <c r="I30" s="313">
        <v>7075.45</v>
      </c>
      <c r="J30" s="261">
        <f t="shared" si="0"/>
        <v>1449514.5</v>
      </c>
      <c r="K30" s="175">
        <f t="shared" si="1"/>
        <v>142.50044239087691</v>
      </c>
      <c r="L30" s="336">
        <f t="shared" si="2"/>
        <v>4.051546091001371</v>
      </c>
      <c r="M30" s="336">
        <f t="shared" si="3"/>
        <v>1.2157759533239909E-2</v>
      </c>
      <c r="N30" s="337">
        <f t="shared" si="4"/>
        <v>0.27217920662762396</v>
      </c>
      <c r="O30" s="178">
        <f t="shared" si="5"/>
        <v>1.4376470754510313</v>
      </c>
      <c r="P30" s="338" t="s">
        <v>112</v>
      </c>
      <c r="Q30" t="s">
        <v>126</v>
      </c>
    </row>
    <row r="31" spans="1:17" x14ac:dyDescent="0.25">
      <c r="A31" s="335" t="s">
        <v>77</v>
      </c>
      <c r="B31" s="172">
        <v>515</v>
      </c>
      <c r="C31" s="261"/>
      <c r="D31" s="261" t="s">
        <v>16</v>
      </c>
      <c r="E31" s="261" t="s">
        <v>23</v>
      </c>
      <c r="F31" s="261">
        <v>4688831.4189999998</v>
      </c>
      <c r="G31" s="261">
        <v>348907.08409999998</v>
      </c>
      <c r="H31" s="313">
        <v>297087</v>
      </c>
      <c r="I31" s="313">
        <v>12900.93</v>
      </c>
      <c r="J31" s="261">
        <f t="shared" si="0"/>
        <v>4339924.3349000001</v>
      </c>
      <c r="K31" s="175">
        <f t="shared" si="1"/>
        <v>14.608260660681887</v>
      </c>
      <c r="L31" s="177">
        <f t="shared" si="2"/>
        <v>0.4153393518159631</v>
      </c>
      <c r="M31" s="177">
        <f t="shared" si="3"/>
        <v>7.4412375477216963E-2</v>
      </c>
      <c r="N31" s="176">
        <f t="shared" si="4"/>
        <v>1.665890928776121</v>
      </c>
      <c r="O31" s="178">
        <f t="shared" si="5"/>
        <v>23.028339817362003</v>
      </c>
      <c r="P31" s="263"/>
      <c r="Q31" t="s">
        <v>126</v>
      </c>
    </row>
    <row r="32" spans="1:17" x14ac:dyDescent="0.25">
      <c r="A32" s="335" t="s">
        <v>77</v>
      </c>
      <c r="B32" s="172">
        <v>515</v>
      </c>
      <c r="C32" s="261"/>
      <c r="D32" s="261" t="s">
        <v>16</v>
      </c>
      <c r="E32" s="261" t="s">
        <v>43</v>
      </c>
      <c r="F32" s="261">
        <v>899031.65689999994</v>
      </c>
      <c r="G32" s="261">
        <v>51097.02549</v>
      </c>
      <c r="H32" s="313">
        <v>49475</v>
      </c>
      <c r="I32" s="313">
        <v>2228.19</v>
      </c>
      <c r="J32" s="261">
        <f t="shared" si="0"/>
        <v>847934.63140999991</v>
      </c>
      <c r="K32" s="175">
        <f t="shared" si="1"/>
        <v>17.138648436786255</v>
      </c>
      <c r="L32" s="177">
        <f t="shared" si="2"/>
        <v>0.41125328358579516</v>
      </c>
      <c r="M32" s="177">
        <f t="shared" si="3"/>
        <v>5.6835624305144536E-2</v>
      </c>
      <c r="N32" s="176">
        <f t="shared" si="4"/>
        <v>1.5986561130739385</v>
      </c>
      <c r="O32" s="178">
        <f t="shared" si="5"/>
        <v>22.20412083350163</v>
      </c>
      <c r="P32" s="263"/>
      <c r="Q32" t="s">
        <v>126</v>
      </c>
    </row>
    <row r="33" spans="1:20" x14ac:dyDescent="0.25">
      <c r="A33" s="335" t="s">
        <v>77</v>
      </c>
      <c r="B33" s="172">
        <v>515</v>
      </c>
      <c r="C33" s="261"/>
      <c r="D33" s="261" t="s">
        <v>16</v>
      </c>
      <c r="E33" s="261" t="s">
        <v>44</v>
      </c>
      <c r="F33" s="261">
        <v>802827.63370000001</v>
      </c>
      <c r="G33" s="261">
        <v>44030.144829999997</v>
      </c>
      <c r="H33" s="313">
        <v>43380</v>
      </c>
      <c r="I33" s="313">
        <v>1975.35</v>
      </c>
      <c r="J33" s="261">
        <f t="shared" si="0"/>
        <v>758797.48887</v>
      </c>
      <c r="K33" s="175">
        <f t="shared" si="1"/>
        <v>17.491873878976488</v>
      </c>
      <c r="L33" s="177">
        <f t="shared" si="2"/>
        <v>0.34552777346814084</v>
      </c>
      <c r="M33" s="177">
        <f t="shared" si="3"/>
        <v>5.4843833198762494E-2</v>
      </c>
      <c r="N33" s="176">
        <f t="shared" si="4"/>
        <v>1.9667479361574924</v>
      </c>
      <c r="O33" s="178">
        <f t="shared" si="5"/>
        <v>21.960665198572407</v>
      </c>
      <c r="P33" s="263"/>
      <c r="Q33" t="s">
        <v>126</v>
      </c>
    </row>
    <row r="34" spans="1:20" x14ac:dyDescent="0.25">
      <c r="A34" s="335" t="s">
        <v>77</v>
      </c>
      <c r="B34" s="172">
        <v>534</v>
      </c>
      <c r="C34" s="261"/>
      <c r="D34" s="261" t="s">
        <v>16</v>
      </c>
      <c r="E34" s="261" t="s">
        <v>23</v>
      </c>
      <c r="F34" s="261">
        <v>386325</v>
      </c>
      <c r="G34" s="261">
        <v>20060</v>
      </c>
      <c r="H34" s="313">
        <v>27552</v>
      </c>
      <c r="I34" s="313">
        <v>3337.5680000000002</v>
      </c>
      <c r="J34" s="261">
        <f t="shared" si="0"/>
        <v>366265</v>
      </c>
      <c r="K34" s="175">
        <f t="shared" si="1"/>
        <v>13.293590301974449</v>
      </c>
      <c r="L34" s="177">
        <f t="shared" si="2"/>
        <v>0.37796088853957471</v>
      </c>
      <c r="M34" s="177">
        <f t="shared" si="3"/>
        <v>5.1925192519251928E-2</v>
      </c>
      <c r="N34" s="176">
        <f t="shared" si="4"/>
        <v>1.1624639938992398</v>
      </c>
      <c r="O34" s="178">
        <f t="shared" si="5"/>
        <v>8.2551127048197959</v>
      </c>
      <c r="P34" s="263"/>
      <c r="Q34" t="s">
        <v>126</v>
      </c>
    </row>
    <row r="35" spans="1:20" x14ac:dyDescent="0.25">
      <c r="A35" s="335" t="s">
        <v>77</v>
      </c>
      <c r="B35" s="172">
        <v>534</v>
      </c>
      <c r="C35" s="261"/>
      <c r="D35" s="261" t="s">
        <v>16</v>
      </c>
      <c r="E35" s="261" t="s">
        <v>43</v>
      </c>
      <c r="F35" s="261">
        <v>60139</v>
      </c>
      <c r="G35" s="261">
        <v>782</v>
      </c>
      <c r="H35" s="313">
        <v>2723</v>
      </c>
      <c r="I35" s="313">
        <v>505.56</v>
      </c>
      <c r="J35" s="261">
        <f t="shared" ref="J35:J66" si="6">+F35-G35</f>
        <v>59357</v>
      </c>
      <c r="K35" s="175">
        <f t="shared" ref="K35:K66" si="7">+J35/H35</f>
        <v>21.79838413514506</v>
      </c>
      <c r="L35" s="177">
        <f t="shared" ref="L35:L66" si="8">+IF(E35="Weekdays",K35/$G$113,IF(E35="Saturdays",K35/$G$114,IF(E35="Sundays",K35/$G$115,"NA")))</f>
        <v>0.52306674505331718</v>
      </c>
      <c r="M35" s="177">
        <f t="shared" ref="M35:M66" si="9">G35/F35</f>
        <v>1.3003209231945992E-2</v>
      </c>
      <c r="N35" s="176">
        <f t="shared" ref="N35:N66" si="10">+IF(E35="Weekdays",M35/$G$119,IF(E35="Saturdays",M35/$G$120,IF(E35="Sundays",M35/$G$121,"NA")))</f>
        <v>0.36575053379590161</v>
      </c>
      <c r="O35" s="178">
        <f t="shared" ref="O35:O66" si="11">+H35/I35</f>
        <v>5.3861064957670699</v>
      </c>
      <c r="P35" s="263"/>
      <c r="Q35" t="s">
        <v>126</v>
      </c>
    </row>
    <row r="36" spans="1:20" x14ac:dyDescent="0.25">
      <c r="A36" s="335" t="s">
        <v>77</v>
      </c>
      <c r="B36" s="172">
        <v>534</v>
      </c>
      <c r="C36" s="261"/>
      <c r="D36" s="261" t="s">
        <v>16</v>
      </c>
      <c r="E36" s="261" t="s">
        <v>44</v>
      </c>
      <c r="F36" s="261">
        <v>62872</v>
      </c>
      <c r="G36" s="261">
        <v>532</v>
      </c>
      <c r="H36" s="313">
        <v>2172</v>
      </c>
      <c r="I36" s="313">
        <v>528.54</v>
      </c>
      <c r="J36" s="261">
        <f t="shared" si="6"/>
        <v>62340</v>
      </c>
      <c r="K36" s="175">
        <f t="shared" si="7"/>
        <v>28.701657458563535</v>
      </c>
      <c r="L36" s="177">
        <f t="shared" si="8"/>
        <v>0.56696154254932285</v>
      </c>
      <c r="M36" s="177">
        <f t="shared" si="9"/>
        <v>8.4616363405013353E-3</v>
      </c>
      <c r="N36" s="176">
        <f t="shared" si="10"/>
        <v>0.30344169687927192</v>
      </c>
      <c r="O36" s="178">
        <f t="shared" si="11"/>
        <v>4.1094335338857988</v>
      </c>
      <c r="P36" s="263"/>
      <c r="Q36" t="s">
        <v>126</v>
      </c>
    </row>
    <row r="37" spans="1:20" x14ac:dyDescent="0.25">
      <c r="A37" s="335" t="s">
        <v>77</v>
      </c>
      <c r="B37" s="172">
        <v>537</v>
      </c>
      <c r="C37" s="261"/>
      <c r="D37" s="261" t="s">
        <v>16</v>
      </c>
      <c r="E37" s="261" t="s">
        <v>23</v>
      </c>
      <c r="F37" s="261">
        <v>142523</v>
      </c>
      <c r="G37" s="261">
        <v>8043</v>
      </c>
      <c r="H37" s="313">
        <v>7599</v>
      </c>
      <c r="I37" s="313">
        <v>1211.2</v>
      </c>
      <c r="J37" s="261">
        <f t="shared" si="6"/>
        <v>134480</v>
      </c>
      <c r="K37" s="175">
        <f t="shared" si="7"/>
        <v>17.697065403342545</v>
      </c>
      <c r="L37" s="177">
        <f t="shared" si="8"/>
        <v>0.50315967413234119</v>
      </c>
      <c r="M37" s="177">
        <f t="shared" si="9"/>
        <v>5.6432996779467171E-2</v>
      </c>
      <c r="N37" s="176">
        <f t="shared" si="10"/>
        <v>1.2633814848089358</v>
      </c>
      <c r="O37" s="178">
        <f t="shared" si="11"/>
        <v>6.27394319682959</v>
      </c>
      <c r="P37" s="263"/>
      <c r="Q37" t="s">
        <v>126</v>
      </c>
    </row>
    <row r="38" spans="1:20" x14ac:dyDescent="0.25">
      <c r="A38" s="335" t="s">
        <v>77</v>
      </c>
      <c r="B38" s="172">
        <v>538</v>
      </c>
      <c r="C38" s="261"/>
      <c r="D38" s="261" t="s">
        <v>16</v>
      </c>
      <c r="E38" s="261" t="s">
        <v>23</v>
      </c>
      <c r="F38" s="261">
        <v>847012</v>
      </c>
      <c r="G38" s="261">
        <v>82318</v>
      </c>
      <c r="H38" s="313">
        <v>82772</v>
      </c>
      <c r="I38" s="313">
        <v>8044.3920000000007</v>
      </c>
      <c r="J38" s="261">
        <f t="shared" si="6"/>
        <v>764694</v>
      </c>
      <c r="K38" s="175">
        <f t="shared" si="7"/>
        <v>9.2385589329725022</v>
      </c>
      <c r="L38" s="177">
        <f t="shared" si="8"/>
        <v>0.26266899037898628</v>
      </c>
      <c r="M38" s="177">
        <f t="shared" si="9"/>
        <v>9.718634446737473E-2</v>
      </c>
      <c r="N38" s="176">
        <f t="shared" si="10"/>
        <v>2.1757382237942511</v>
      </c>
      <c r="O38" s="178">
        <f t="shared" si="11"/>
        <v>10.289404096667591</v>
      </c>
      <c r="P38" s="263"/>
      <c r="Q38" t="s">
        <v>126</v>
      </c>
    </row>
    <row r="39" spans="1:20" x14ac:dyDescent="0.25">
      <c r="A39" s="335" t="s">
        <v>77</v>
      </c>
      <c r="B39" s="172">
        <v>538</v>
      </c>
      <c r="C39" s="261"/>
      <c r="D39" s="261" t="s">
        <v>16</v>
      </c>
      <c r="E39" s="261" t="s">
        <v>43</v>
      </c>
      <c r="F39" s="261">
        <v>123765</v>
      </c>
      <c r="G39" s="261">
        <v>11337</v>
      </c>
      <c r="H39" s="313">
        <v>13524</v>
      </c>
      <c r="I39" s="313">
        <v>1175.1600000000001</v>
      </c>
      <c r="J39" s="261">
        <f t="shared" si="6"/>
        <v>112428</v>
      </c>
      <c r="K39" s="175">
        <f t="shared" si="7"/>
        <v>8.3132209405501332</v>
      </c>
      <c r="L39" s="177">
        <f t="shared" si="8"/>
        <v>0.19948127307619343</v>
      </c>
      <c r="M39" s="177">
        <f t="shared" si="9"/>
        <v>9.1601018058417166E-2</v>
      </c>
      <c r="N39" s="176">
        <f t="shared" si="10"/>
        <v>2.5765271213820347</v>
      </c>
      <c r="O39" s="178">
        <f t="shared" si="11"/>
        <v>11.508220157255181</v>
      </c>
      <c r="P39" s="263"/>
      <c r="Q39" t="s">
        <v>126</v>
      </c>
    </row>
    <row r="40" spans="1:20" x14ac:dyDescent="0.25">
      <c r="A40" s="335" t="s">
        <v>77</v>
      </c>
      <c r="B40" s="172">
        <v>538</v>
      </c>
      <c r="C40" s="261"/>
      <c r="D40" s="261" t="s">
        <v>16</v>
      </c>
      <c r="E40" s="261" t="s">
        <v>44</v>
      </c>
      <c r="F40" s="261">
        <v>128777</v>
      </c>
      <c r="G40" s="261">
        <v>7040</v>
      </c>
      <c r="H40" s="313">
        <v>11455</v>
      </c>
      <c r="I40" s="313">
        <v>1204.6199999999999</v>
      </c>
      <c r="J40" s="261">
        <f t="shared" si="6"/>
        <v>121737</v>
      </c>
      <c r="K40" s="175">
        <f t="shared" si="7"/>
        <v>10.627411610650372</v>
      </c>
      <c r="L40" s="177">
        <f t="shared" si="8"/>
        <v>0.20992981638010513</v>
      </c>
      <c r="M40" s="177">
        <f t="shared" si="9"/>
        <v>5.4668147262321685E-2</v>
      </c>
      <c r="N40" s="176">
        <f t="shared" si="10"/>
        <v>1.9604476844654817</v>
      </c>
      <c r="O40" s="178">
        <f t="shared" si="11"/>
        <v>9.5092228254553319</v>
      </c>
      <c r="P40" s="263"/>
      <c r="Q40" t="s">
        <v>126</v>
      </c>
    </row>
    <row r="41" spans="1:20" x14ac:dyDescent="0.25">
      <c r="A41" s="335" t="s">
        <v>77</v>
      </c>
      <c r="B41" s="172">
        <v>539</v>
      </c>
      <c r="C41" s="261"/>
      <c r="D41" s="261" t="s">
        <v>16</v>
      </c>
      <c r="E41" s="261" t="s">
        <v>23</v>
      </c>
      <c r="F41" s="261">
        <v>732731</v>
      </c>
      <c r="G41" s="261">
        <v>110602</v>
      </c>
      <c r="H41" s="313">
        <v>126052</v>
      </c>
      <c r="I41" s="313">
        <v>6468.8</v>
      </c>
      <c r="J41" s="261">
        <f t="shared" si="6"/>
        <v>622129</v>
      </c>
      <c r="K41" s="175">
        <f t="shared" si="7"/>
        <v>4.9354948751308987</v>
      </c>
      <c r="L41" s="177">
        <f t="shared" si="8"/>
        <v>0.14032507291201288</v>
      </c>
      <c r="M41" s="177">
        <f t="shared" si="9"/>
        <v>0.15094488973443188</v>
      </c>
      <c r="N41" s="176">
        <f t="shared" si="10"/>
        <v>3.3792460049967277</v>
      </c>
      <c r="O41" s="178">
        <f t="shared" si="11"/>
        <v>19.486148899332179</v>
      </c>
      <c r="P41" s="263"/>
      <c r="Q41" t="s">
        <v>126</v>
      </c>
    </row>
    <row r="42" spans="1:20" x14ac:dyDescent="0.25">
      <c r="A42" s="335" t="s">
        <v>77</v>
      </c>
      <c r="B42" s="172">
        <v>539</v>
      </c>
      <c r="C42" s="261"/>
      <c r="D42" s="261" t="s">
        <v>16</v>
      </c>
      <c r="E42" s="261" t="s">
        <v>43</v>
      </c>
      <c r="F42" s="261">
        <v>91046</v>
      </c>
      <c r="G42" s="261">
        <v>8184</v>
      </c>
      <c r="H42" s="313">
        <v>12671</v>
      </c>
      <c r="I42" s="313">
        <v>702.8</v>
      </c>
      <c r="J42" s="261">
        <f t="shared" si="6"/>
        <v>82862</v>
      </c>
      <c r="K42" s="175">
        <f t="shared" si="7"/>
        <v>6.5394996448583376</v>
      </c>
      <c r="L42" s="177">
        <f t="shared" si="8"/>
        <v>0.15691964928714253</v>
      </c>
      <c r="M42" s="177">
        <f t="shared" si="9"/>
        <v>8.9888627726643675E-2</v>
      </c>
      <c r="N42" s="176">
        <f t="shared" si="10"/>
        <v>2.5283614980546489</v>
      </c>
      <c r="O42" s="178">
        <f t="shared" si="11"/>
        <v>18.029311326124077</v>
      </c>
      <c r="P42" s="263"/>
      <c r="Q42" t="s">
        <v>126</v>
      </c>
    </row>
    <row r="43" spans="1:20" x14ac:dyDescent="0.25">
      <c r="A43" s="335" t="s">
        <v>77</v>
      </c>
      <c r="B43" s="172">
        <v>539</v>
      </c>
      <c r="C43" s="261"/>
      <c r="D43" s="261" t="s">
        <v>16</v>
      </c>
      <c r="E43" s="261" t="s">
        <v>44</v>
      </c>
      <c r="F43" s="261">
        <v>87830</v>
      </c>
      <c r="G43" s="261">
        <v>4902</v>
      </c>
      <c r="H43" s="313">
        <v>9597</v>
      </c>
      <c r="I43" s="313">
        <v>677.26</v>
      </c>
      <c r="J43" s="261">
        <f t="shared" si="6"/>
        <v>82928</v>
      </c>
      <c r="K43" s="175">
        <f t="shared" si="7"/>
        <v>8.6410336563509436</v>
      </c>
      <c r="L43" s="177">
        <f t="shared" si="8"/>
        <v>0.17069166747942013</v>
      </c>
      <c r="M43" s="177">
        <f t="shared" si="9"/>
        <v>5.5812364795627921E-2</v>
      </c>
      <c r="N43" s="176">
        <f t="shared" si="10"/>
        <v>2.001480328263181</v>
      </c>
      <c r="O43" s="178">
        <f t="shared" si="11"/>
        <v>14.170333402238432</v>
      </c>
      <c r="P43" s="263"/>
      <c r="Q43" t="s">
        <v>126</v>
      </c>
    </row>
    <row r="44" spans="1:20" x14ac:dyDescent="0.25">
      <c r="A44" s="335" t="s">
        <v>77</v>
      </c>
      <c r="B44" s="172">
        <v>540</v>
      </c>
      <c r="C44" s="261"/>
      <c r="D44" s="261" t="s">
        <v>16</v>
      </c>
      <c r="E44" s="261" t="s">
        <v>23</v>
      </c>
      <c r="F44" s="261">
        <v>1127232</v>
      </c>
      <c r="G44" s="261">
        <v>3737</v>
      </c>
      <c r="H44" s="313">
        <v>149796</v>
      </c>
      <c r="I44" s="313">
        <v>9949.2200000000012</v>
      </c>
      <c r="J44" s="261">
        <f t="shared" si="6"/>
        <v>1123495</v>
      </c>
      <c r="K44" s="175">
        <f t="shared" si="7"/>
        <v>7.50016689364202</v>
      </c>
      <c r="L44" s="177">
        <f t="shared" si="8"/>
        <v>0.21324335103775552</v>
      </c>
      <c r="M44" s="177">
        <f t="shared" si="9"/>
        <v>3.3152004201442119E-3</v>
      </c>
      <c r="N44" s="176">
        <f t="shared" si="10"/>
        <v>7.4218330910346311E-2</v>
      </c>
      <c r="O44" s="178">
        <f t="shared" si="11"/>
        <v>15.056054645489795</v>
      </c>
      <c r="P44" s="263"/>
      <c r="Q44" t="s">
        <v>126</v>
      </c>
      <c r="S44" s="2"/>
      <c r="T44" s="2"/>
    </row>
    <row r="45" spans="1:20" x14ac:dyDescent="0.25">
      <c r="A45" s="335" t="s">
        <v>77</v>
      </c>
      <c r="B45" s="172">
        <v>540</v>
      </c>
      <c r="C45" s="261"/>
      <c r="D45" s="261" t="s">
        <v>16</v>
      </c>
      <c r="E45" s="261" t="s">
        <v>43</v>
      </c>
      <c r="F45" s="261">
        <v>180814</v>
      </c>
      <c r="G45" s="261">
        <v>1110</v>
      </c>
      <c r="H45" s="313">
        <v>19431</v>
      </c>
      <c r="I45" s="313">
        <v>1247.4000000000001</v>
      </c>
      <c r="J45" s="261">
        <f t="shared" si="6"/>
        <v>179704</v>
      </c>
      <c r="K45" s="175">
        <f t="shared" si="7"/>
        <v>9.2483145489166798</v>
      </c>
      <c r="L45" s="177">
        <f t="shared" si="8"/>
        <v>0.22191946698157833</v>
      </c>
      <c r="M45" s="177">
        <f t="shared" si="9"/>
        <v>6.138905173271981E-3</v>
      </c>
      <c r="N45" s="176">
        <f t="shared" si="10"/>
        <v>0.17267336116767446</v>
      </c>
      <c r="O45" s="178">
        <f t="shared" si="11"/>
        <v>15.577200577200577</v>
      </c>
      <c r="P45" s="263"/>
      <c r="Q45" t="s">
        <v>126</v>
      </c>
      <c r="S45" s="5"/>
      <c r="T45" s="7"/>
    </row>
    <row r="46" spans="1:20" x14ac:dyDescent="0.25">
      <c r="A46" s="335" t="s">
        <v>77</v>
      </c>
      <c r="B46" s="172">
        <v>540</v>
      </c>
      <c r="C46" s="261"/>
      <c r="D46" s="261" t="s">
        <v>16</v>
      </c>
      <c r="E46" s="261" t="s">
        <v>44</v>
      </c>
      <c r="F46" s="261">
        <v>153275</v>
      </c>
      <c r="G46" s="261">
        <v>821</v>
      </c>
      <c r="H46" s="313">
        <v>15490</v>
      </c>
      <c r="I46" s="313">
        <v>1035.8000000000002</v>
      </c>
      <c r="J46" s="261">
        <f t="shared" si="6"/>
        <v>152454</v>
      </c>
      <c r="K46" s="175">
        <f t="shared" si="7"/>
        <v>9.8420916720464824</v>
      </c>
      <c r="L46" s="177">
        <f t="shared" si="8"/>
        <v>0.1944169072587974</v>
      </c>
      <c r="M46" s="177">
        <f t="shared" si="9"/>
        <v>5.3563855814712123E-3</v>
      </c>
      <c r="N46" s="176">
        <f t="shared" si="10"/>
        <v>0.1920846825101197</v>
      </c>
      <c r="O46" s="178">
        <f t="shared" si="11"/>
        <v>14.954624444873525</v>
      </c>
      <c r="P46" s="263"/>
      <c r="Q46" t="s">
        <v>126</v>
      </c>
    </row>
    <row r="47" spans="1:20" x14ac:dyDescent="0.25">
      <c r="A47" s="335" t="s">
        <v>77</v>
      </c>
      <c r="B47" s="172">
        <v>542</v>
      </c>
      <c r="C47" s="261"/>
      <c r="D47" s="261" t="s">
        <v>16</v>
      </c>
      <c r="E47" s="261" t="s">
        <v>23</v>
      </c>
      <c r="F47" s="261">
        <v>1197738</v>
      </c>
      <c r="G47" s="261">
        <v>2905</v>
      </c>
      <c r="H47" s="313">
        <v>60075</v>
      </c>
      <c r="I47" s="313">
        <v>5108.6000000000004</v>
      </c>
      <c r="J47" s="261">
        <f t="shared" si="6"/>
        <v>1194833</v>
      </c>
      <c r="K47" s="175">
        <f t="shared" si="7"/>
        <v>19.889022055763629</v>
      </c>
      <c r="L47" s="177">
        <f t="shared" si="8"/>
        <v>0.56548097824732169</v>
      </c>
      <c r="M47" s="177">
        <f t="shared" si="9"/>
        <v>2.4254052221771372E-3</v>
      </c>
      <c r="N47" s="176">
        <f t="shared" si="10"/>
        <v>5.4298233759090299E-2</v>
      </c>
      <c r="O47" s="178">
        <f t="shared" si="11"/>
        <v>11.7595818815331</v>
      </c>
      <c r="P47" s="263"/>
      <c r="Q47" t="s">
        <v>126</v>
      </c>
    </row>
    <row r="48" spans="1:20" x14ac:dyDescent="0.25">
      <c r="A48" s="335" t="s">
        <v>77</v>
      </c>
      <c r="B48" s="172">
        <v>546</v>
      </c>
      <c r="C48" s="261"/>
      <c r="D48" s="261" t="s">
        <v>16</v>
      </c>
      <c r="E48" s="261" t="s">
        <v>23</v>
      </c>
      <c r="F48" s="261">
        <v>527055</v>
      </c>
      <c r="G48" s="261">
        <v>48334</v>
      </c>
      <c r="H48" s="313">
        <v>39969</v>
      </c>
      <c r="I48" s="313">
        <v>4377.5999999999995</v>
      </c>
      <c r="J48" s="261">
        <f t="shared" si="6"/>
        <v>478721</v>
      </c>
      <c r="K48" s="175">
        <f t="shared" si="7"/>
        <v>11.977307413245265</v>
      </c>
      <c r="L48" s="177">
        <f t="shared" si="8"/>
        <v>0.34053657810933463</v>
      </c>
      <c r="M48" s="177">
        <f t="shared" si="9"/>
        <v>9.170579920501655E-2</v>
      </c>
      <c r="N48" s="176">
        <f t="shared" si="10"/>
        <v>2.053043704518962</v>
      </c>
      <c r="O48" s="178">
        <f t="shared" si="11"/>
        <v>9.1303453947368425</v>
      </c>
      <c r="P48" s="263"/>
      <c r="Q48" t="s">
        <v>126</v>
      </c>
    </row>
    <row r="49" spans="1:17" x14ac:dyDescent="0.25">
      <c r="A49" s="335" t="s">
        <v>77</v>
      </c>
      <c r="B49" s="172">
        <v>546</v>
      </c>
      <c r="C49" s="261"/>
      <c r="D49" s="261" t="s">
        <v>16</v>
      </c>
      <c r="E49" s="261" t="s">
        <v>43</v>
      </c>
      <c r="F49" s="261">
        <v>85637</v>
      </c>
      <c r="G49" s="261">
        <v>6943</v>
      </c>
      <c r="H49" s="313">
        <v>6531</v>
      </c>
      <c r="I49" s="313">
        <v>748.84</v>
      </c>
      <c r="J49" s="261">
        <f t="shared" si="6"/>
        <v>78694</v>
      </c>
      <c r="K49" s="175">
        <f t="shared" si="7"/>
        <v>12.04930332261522</v>
      </c>
      <c r="L49" s="177">
        <f t="shared" si="8"/>
        <v>0.28913105806585609</v>
      </c>
      <c r="M49" s="177">
        <f t="shared" si="9"/>
        <v>8.1074769083456913E-2</v>
      </c>
      <c r="N49" s="176">
        <f t="shared" si="10"/>
        <v>2.280447814129043</v>
      </c>
      <c r="O49" s="178">
        <f t="shared" si="11"/>
        <v>8.7214892366860735</v>
      </c>
      <c r="P49" s="263"/>
      <c r="Q49" t="s">
        <v>126</v>
      </c>
    </row>
    <row r="50" spans="1:17" x14ac:dyDescent="0.25">
      <c r="A50" s="335" t="s">
        <v>77</v>
      </c>
      <c r="B50" s="172">
        <v>546</v>
      </c>
      <c r="C50" s="261"/>
      <c r="D50" s="261" t="s">
        <v>16</v>
      </c>
      <c r="E50" s="261" t="s">
        <v>44</v>
      </c>
      <c r="F50" s="261">
        <v>82953</v>
      </c>
      <c r="G50" s="261">
        <v>4216</v>
      </c>
      <c r="H50" s="313">
        <v>5047</v>
      </c>
      <c r="I50" s="313">
        <v>720.26</v>
      </c>
      <c r="J50" s="261">
        <f t="shared" si="6"/>
        <v>78737</v>
      </c>
      <c r="K50" s="175">
        <f t="shared" si="7"/>
        <v>15.600752922528235</v>
      </c>
      <c r="L50" s="177">
        <f t="shared" si="8"/>
        <v>0.308171294799159</v>
      </c>
      <c r="M50" s="177">
        <f t="shared" si="9"/>
        <v>5.0823960555977481E-2</v>
      </c>
      <c r="N50" s="176">
        <f t="shared" si="10"/>
        <v>1.8225917792535695</v>
      </c>
      <c r="O50" s="178">
        <f t="shared" si="11"/>
        <v>7.0071918473884436</v>
      </c>
      <c r="P50" s="263"/>
      <c r="Q50" t="s">
        <v>126</v>
      </c>
    </row>
    <row r="51" spans="1:17" x14ac:dyDescent="0.25">
      <c r="A51" s="335" t="s">
        <v>77</v>
      </c>
      <c r="B51" s="172">
        <v>612</v>
      </c>
      <c r="C51" s="261"/>
      <c r="D51" s="261" t="s">
        <v>16</v>
      </c>
      <c r="E51" s="261" t="s">
        <v>23</v>
      </c>
      <c r="F51" s="261">
        <v>1733197.6839999999</v>
      </c>
      <c r="G51" s="261">
        <v>72801.596309999994</v>
      </c>
      <c r="H51" s="313">
        <v>52008</v>
      </c>
      <c r="I51" s="313">
        <v>4901</v>
      </c>
      <c r="J51" s="261">
        <f t="shared" si="6"/>
        <v>1660396.08769</v>
      </c>
      <c r="K51" s="175">
        <f t="shared" si="7"/>
        <v>31.925782335217658</v>
      </c>
      <c r="L51" s="177">
        <f t="shared" si="8"/>
        <v>0.9077079091979916</v>
      </c>
      <c r="M51" s="177">
        <f t="shared" si="9"/>
        <v>4.2004208165096993E-2</v>
      </c>
      <c r="N51" s="176">
        <f t="shared" si="10"/>
        <v>0.9403601068223284</v>
      </c>
      <c r="O51" s="178">
        <f t="shared" si="11"/>
        <v>10.611711895531524</v>
      </c>
      <c r="P51" s="263"/>
      <c r="Q51" t="s">
        <v>126</v>
      </c>
    </row>
    <row r="52" spans="1:17" x14ac:dyDescent="0.25">
      <c r="A52" s="335" t="s">
        <v>77</v>
      </c>
      <c r="B52" s="172">
        <v>612</v>
      </c>
      <c r="C52" s="261"/>
      <c r="D52" s="261" t="s">
        <v>16</v>
      </c>
      <c r="E52" s="261" t="s">
        <v>43</v>
      </c>
      <c r="F52" s="261">
        <v>243307.5747</v>
      </c>
      <c r="G52" s="261">
        <v>8541.3390780000009</v>
      </c>
      <c r="H52" s="313">
        <v>7546</v>
      </c>
      <c r="I52" s="313">
        <v>797.41</v>
      </c>
      <c r="J52" s="261">
        <f t="shared" si="6"/>
        <v>234766.23562200001</v>
      </c>
      <c r="K52" s="175">
        <f t="shared" si="7"/>
        <v>31.111348478929234</v>
      </c>
      <c r="L52" s="177">
        <f t="shared" si="8"/>
        <v>0.74653752691952424</v>
      </c>
      <c r="M52" s="177">
        <f t="shared" si="9"/>
        <v>3.510510960676639E-2</v>
      </c>
      <c r="N52" s="176">
        <f t="shared" si="10"/>
        <v>0.98742643824373166</v>
      </c>
      <c r="O52" s="178">
        <f t="shared" si="11"/>
        <v>9.4631369057323091</v>
      </c>
      <c r="P52" s="263"/>
      <c r="Q52" t="s">
        <v>126</v>
      </c>
    </row>
    <row r="53" spans="1:17" x14ac:dyDescent="0.25">
      <c r="A53" s="335" t="s">
        <v>77</v>
      </c>
      <c r="B53" s="172">
        <v>612</v>
      </c>
      <c r="C53" s="261"/>
      <c r="D53" s="261" t="s">
        <v>16</v>
      </c>
      <c r="E53" s="261" t="s">
        <v>44</v>
      </c>
      <c r="F53" s="261">
        <v>171844.38870000001</v>
      </c>
      <c r="G53" s="261">
        <v>5908.0140380000003</v>
      </c>
      <c r="H53" s="313">
        <v>5196</v>
      </c>
      <c r="I53" s="313">
        <v>531.25</v>
      </c>
      <c r="J53" s="261">
        <f t="shared" si="6"/>
        <v>165936.37466200002</v>
      </c>
      <c r="K53" s="175">
        <f t="shared" si="7"/>
        <v>31.935406978829871</v>
      </c>
      <c r="L53" s="177">
        <f t="shared" si="8"/>
        <v>0.63083979135342838</v>
      </c>
      <c r="M53" s="177">
        <f t="shared" si="9"/>
        <v>3.4380023012063589E-2</v>
      </c>
      <c r="N53" s="176">
        <f t="shared" si="10"/>
        <v>1.2328977637097196</v>
      </c>
      <c r="O53" s="178">
        <f t="shared" si="11"/>
        <v>9.780705882352942</v>
      </c>
      <c r="P53" s="263"/>
      <c r="Q53" t="s">
        <v>126</v>
      </c>
    </row>
    <row r="54" spans="1:17" x14ac:dyDescent="0.25">
      <c r="A54" s="335" t="s">
        <v>77</v>
      </c>
      <c r="B54" s="172">
        <v>615</v>
      </c>
      <c r="C54" s="261"/>
      <c r="D54" s="261" t="s">
        <v>16</v>
      </c>
      <c r="E54" s="261" t="s">
        <v>23</v>
      </c>
      <c r="F54" s="261">
        <v>582331</v>
      </c>
      <c r="G54" s="261">
        <v>27684</v>
      </c>
      <c r="H54" s="313">
        <v>35640</v>
      </c>
      <c r="I54" s="313">
        <v>5495.2960000000003</v>
      </c>
      <c r="J54" s="261">
        <f t="shared" si="6"/>
        <v>554647</v>
      </c>
      <c r="K54" s="175">
        <f t="shared" si="7"/>
        <v>15.562485970819305</v>
      </c>
      <c r="L54" s="177">
        <f t="shared" si="8"/>
        <v>0.44246970846859157</v>
      </c>
      <c r="M54" s="177">
        <f t="shared" si="9"/>
        <v>4.7539972970698792E-2</v>
      </c>
      <c r="N54" s="176">
        <f t="shared" si="10"/>
        <v>1.0642908416543815</v>
      </c>
      <c r="O54" s="178">
        <f t="shared" si="11"/>
        <v>6.4855469113947635</v>
      </c>
      <c r="P54" s="263"/>
      <c r="Q54" t="s">
        <v>126</v>
      </c>
    </row>
    <row r="55" spans="1:17" x14ac:dyDescent="0.25">
      <c r="A55" s="335" t="s">
        <v>77</v>
      </c>
      <c r="B55" s="172">
        <v>615</v>
      </c>
      <c r="C55" s="261"/>
      <c r="D55" s="261" t="s">
        <v>16</v>
      </c>
      <c r="E55" s="261" t="s">
        <v>43</v>
      </c>
      <c r="F55" s="261">
        <v>118024</v>
      </c>
      <c r="G55" s="261">
        <v>4377</v>
      </c>
      <c r="H55" s="313">
        <v>5840</v>
      </c>
      <c r="I55" s="313">
        <v>1111</v>
      </c>
      <c r="J55" s="261">
        <f t="shared" si="6"/>
        <v>113647</v>
      </c>
      <c r="K55" s="175">
        <f t="shared" si="7"/>
        <v>19.460102739726029</v>
      </c>
      <c r="L55" s="177">
        <f t="shared" si="8"/>
        <v>0.46695812567411188</v>
      </c>
      <c r="M55" s="177">
        <f t="shared" si="9"/>
        <v>3.7085677489324204E-2</v>
      </c>
      <c r="N55" s="176">
        <f t="shared" si="10"/>
        <v>1.0431352826792164</v>
      </c>
      <c r="O55" s="178">
        <f t="shared" si="11"/>
        <v>5.2565256525652568</v>
      </c>
      <c r="P55" s="263"/>
      <c r="Q55" t="s">
        <v>126</v>
      </c>
    </row>
    <row r="56" spans="1:17" x14ac:dyDescent="0.25">
      <c r="A56" s="335" t="s">
        <v>77</v>
      </c>
      <c r="B56" s="172">
        <v>645</v>
      </c>
      <c r="C56" s="261"/>
      <c r="D56" s="261" t="s">
        <v>16</v>
      </c>
      <c r="E56" s="261" t="s">
        <v>23</v>
      </c>
      <c r="F56" s="261">
        <v>4282936.0860000001</v>
      </c>
      <c r="G56" s="261">
        <v>186143.1637</v>
      </c>
      <c r="H56" s="313">
        <v>160265</v>
      </c>
      <c r="I56" s="313">
        <v>12711.16</v>
      </c>
      <c r="J56" s="261">
        <f t="shared" si="6"/>
        <v>4096792.9223000002</v>
      </c>
      <c r="K56" s="175">
        <f t="shared" si="7"/>
        <v>25.562617678844415</v>
      </c>
      <c r="L56" s="177">
        <f t="shared" si="8"/>
        <v>0.72679159443167607</v>
      </c>
      <c r="M56" s="177">
        <f t="shared" si="9"/>
        <v>4.3461578683945831E-2</v>
      </c>
      <c r="N56" s="176">
        <f t="shared" si="10"/>
        <v>0.97298667346055334</v>
      </c>
      <c r="O56" s="178">
        <f t="shared" si="11"/>
        <v>12.608211996387427</v>
      </c>
      <c r="P56" s="263"/>
      <c r="Q56" t="s">
        <v>126</v>
      </c>
    </row>
    <row r="57" spans="1:17" x14ac:dyDescent="0.25">
      <c r="A57" s="335" t="s">
        <v>77</v>
      </c>
      <c r="B57" s="172">
        <v>645</v>
      </c>
      <c r="C57" s="261"/>
      <c r="D57" s="261" t="s">
        <v>16</v>
      </c>
      <c r="E57" s="261" t="s">
        <v>43</v>
      </c>
      <c r="F57" s="261">
        <v>399393.25550000003</v>
      </c>
      <c r="G57" s="261">
        <v>13066.518120000001</v>
      </c>
      <c r="H57" s="313">
        <v>13419</v>
      </c>
      <c r="I57" s="313">
        <v>1289.72</v>
      </c>
      <c r="J57" s="261">
        <f t="shared" si="6"/>
        <v>386326.73738000001</v>
      </c>
      <c r="K57" s="175">
        <f t="shared" si="7"/>
        <v>28.789532556822415</v>
      </c>
      <c r="L57" s="177">
        <f t="shared" si="8"/>
        <v>0.69082400753845574</v>
      </c>
      <c r="M57" s="177">
        <f t="shared" si="9"/>
        <v>3.2715920812538608E-2</v>
      </c>
      <c r="N57" s="176">
        <f t="shared" si="10"/>
        <v>0.92022402219084298</v>
      </c>
      <c r="O57" s="178">
        <f t="shared" si="11"/>
        <v>10.404583940700308</v>
      </c>
      <c r="P57" s="263"/>
      <c r="Q57" t="s">
        <v>126</v>
      </c>
    </row>
    <row r="58" spans="1:17" x14ac:dyDescent="0.25">
      <c r="A58" s="335" t="s">
        <v>77</v>
      </c>
      <c r="B58" s="172">
        <v>645</v>
      </c>
      <c r="C58" s="261"/>
      <c r="D58" s="261" t="s">
        <v>16</v>
      </c>
      <c r="E58" s="261" t="s">
        <v>44</v>
      </c>
      <c r="F58" s="261">
        <v>330868.41680000001</v>
      </c>
      <c r="G58" s="261">
        <v>11222.172560000001</v>
      </c>
      <c r="H58" s="313">
        <v>10621</v>
      </c>
      <c r="I58" s="313">
        <v>1044</v>
      </c>
      <c r="J58" s="261">
        <f t="shared" si="6"/>
        <v>319646.24424000003</v>
      </c>
      <c r="K58" s="175">
        <f t="shared" si="7"/>
        <v>30.095682538367388</v>
      </c>
      <c r="L58" s="177">
        <f t="shared" si="8"/>
        <v>0.5944985797653467</v>
      </c>
      <c r="M58" s="177">
        <f t="shared" si="9"/>
        <v>3.3917327826377172E-2</v>
      </c>
      <c r="N58" s="176">
        <f t="shared" si="10"/>
        <v>1.2163051087393646</v>
      </c>
      <c r="O58" s="178">
        <f t="shared" si="11"/>
        <v>10.173371647509578</v>
      </c>
      <c r="P58" s="263"/>
      <c r="Q58" t="s">
        <v>126</v>
      </c>
    </row>
    <row r="59" spans="1:17" x14ac:dyDescent="0.25">
      <c r="A59" s="335" t="s">
        <v>77</v>
      </c>
      <c r="B59" s="172">
        <v>705</v>
      </c>
      <c r="C59" s="261"/>
      <c r="D59" s="261" t="s">
        <v>16</v>
      </c>
      <c r="E59" s="261" t="s">
        <v>23</v>
      </c>
      <c r="F59" s="261">
        <v>858614</v>
      </c>
      <c r="G59" s="261">
        <v>30601</v>
      </c>
      <c r="H59" s="313">
        <v>54530</v>
      </c>
      <c r="I59" s="313">
        <v>5836.8</v>
      </c>
      <c r="J59" s="261">
        <f t="shared" si="6"/>
        <v>828013</v>
      </c>
      <c r="K59" s="175">
        <f t="shared" si="7"/>
        <v>15.184540619842288</v>
      </c>
      <c r="L59" s="177">
        <f t="shared" si="8"/>
        <v>0.43172403649963836</v>
      </c>
      <c r="M59" s="177">
        <f t="shared" si="9"/>
        <v>3.5639996552583583E-2</v>
      </c>
      <c r="N59" s="176">
        <f t="shared" si="10"/>
        <v>0.79788269864788031</v>
      </c>
      <c r="O59" s="178">
        <f t="shared" si="11"/>
        <v>9.3424479166666661</v>
      </c>
      <c r="P59" s="263"/>
      <c r="Q59" t="s">
        <v>126</v>
      </c>
    </row>
    <row r="60" spans="1:17" x14ac:dyDescent="0.25">
      <c r="A60" s="335" t="s">
        <v>77</v>
      </c>
      <c r="B60" s="172">
        <v>716</v>
      </c>
      <c r="C60" s="261"/>
      <c r="D60" s="261" t="s">
        <v>16</v>
      </c>
      <c r="E60" s="261" t="s">
        <v>23</v>
      </c>
      <c r="F60" s="261">
        <v>355369</v>
      </c>
      <c r="G60" s="261">
        <v>22332</v>
      </c>
      <c r="H60" s="313">
        <v>32764</v>
      </c>
      <c r="I60" s="313">
        <v>3029.248</v>
      </c>
      <c r="J60" s="261">
        <f t="shared" si="6"/>
        <v>333037</v>
      </c>
      <c r="K60" s="175">
        <f t="shared" si="7"/>
        <v>10.164723476986937</v>
      </c>
      <c r="L60" s="177">
        <f t="shared" si="8"/>
        <v>0.28900152854495897</v>
      </c>
      <c r="M60" s="177">
        <f t="shared" si="9"/>
        <v>6.284172226615152E-2</v>
      </c>
      <c r="N60" s="176">
        <f t="shared" si="10"/>
        <v>1.4068554376939981</v>
      </c>
      <c r="O60" s="178">
        <f t="shared" si="11"/>
        <v>10.81588565875095</v>
      </c>
      <c r="P60" s="263"/>
      <c r="Q60" t="s">
        <v>126</v>
      </c>
    </row>
    <row r="61" spans="1:17" x14ac:dyDescent="0.25">
      <c r="A61" s="335" t="s">
        <v>77</v>
      </c>
      <c r="B61" s="172">
        <v>716</v>
      </c>
      <c r="C61" s="261"/>
      <c r="D61" s="261" t="s">
        <v>16</v>
      </c>
      <c r="E61" s="261" t="s">
        <v>43</v>
      </c>
      <c r="F61" s="261">
        <v>69685</v>
      </c>
      <c r="G61" s="261">
        <v>3244</v>
      </c>
      <c r="H61" s="313">
        <v>8502</v>
      </c>
      <c r="I61" s="313">
        <v>608</v>
      </c>
      <c r="J61" s="261">
        <f t="shared" si="6"/>
        <v>66441</v>
      </c>
      <c r="K61" s="175">
        <f t="shared" si="7"/>
        <v>7.8147494707127736</v>
      </c>
      <c r="L61" s="177">
        <f t="shared" si="8"/>
        <v>0.18752011817529438</v>
      </c>
      <c r="M61" s="177">
        <f t="shared" si="9"/>
        <v>4.6552342684939373E-2</v>
      </c>
      <c r="N61" s="176">
        <f t="shared" si="10"/>
        <v>1.3094109217773626</v>
      </c>
      <c r="O61" s="178">
        <f t="shared" si="11"/>
        <v>13.983552631578947</v>
      </c>
      <c r="P61" s="263"/>
      <c r="Q61" t="s">
        <v>126</v>
      </c>
    </row>
    <row r="62" spans="1:17" x14ac:dyDescent="0.25">
      <c r="A62" s="335" t="s">
        <v>77</v>
      </c>
      <c r="B62" s="172">
        <v>716</v>
      </c>
      <c r="C62" s="261"/>
      <c r="D62" s="261" t="s">
        <v>16</v>
      </c>
      <c r="E62" s="261" t="s">
        <v>44</v>
      </c>
      <c r="F62" s="261">
        <v>79803</v>
      </c>
      <c r="G62" s="261">
        <v>856</v>
      </c>
      <c r="H62" s="313">
        <v>1327</v>
      </c>
      <c r="I62" s="313">
        <v>696</v>
      </c>
      <c r="J62" s="261">
        <f t="shared" si="6"/>
        <v>78947</v>
      </c>
      <c r="K62" s="175">
        <f t="shared" si="7"/>
        <v>59.492840994724943</v>
      </c>
      <c r="L62" s="177">
        <f t="shared" si="8"/>
        <v>1.1751987824991266</v>
      </c>
      <c r="M62" s="177">
        <f t="shared" si="9"/>
        <v>1.0726413793967646E-2</v>
      </c>
      <c r="N62" s="176">
        <f t="shared" si="10"/>
        <v>0.38465860172831873</v>
      </c>
      <c r="O62" s="178">
        <f t="shared" si="11"/>
        <v>1.9066091954022988</v>
      </c>
      <c r="P62" s="263"/>
      <c r="Q62" t="s">
        <v>126</v>
      </c>
    </row>
    <row r="63" spans="1:17" x14ac:dyDescent="0.25">
      <c r="A63" s="335" t="s">
        <v>77</v>
      </c>
      <c r="B63" s="172">
        <v>717</v>
      </c>
      <c r="C63" s="261"/>
      <c r="D63" s="261" t="s">
        <v>16</v>
      </c>
      <c r="E63" s="261" t="s">
        <v>23</v>
      </c>
      <c r="F63" s="261">
        <v>382864</v>
      </c>
      <c r="G63" s="261">
        <v>26978</v>
      </c>
      <c r="H63" s="313">
        <v>49951</v>
      </c>
      <c r="I63" s="313">
        <v>3507.2</v>
      </c>
      <c r="J63" s="261">
        <f t="shared" si="6"/>
        <v>355886</v>
      </c>
      <c r="K63" s="175">
        <f t="shared" si="7"/>
        <v>7.1247022081640008</v>
      </c>
      <c r="L63" s="177">
        <f t="shared" si="8"/>
        <v>0.20256820888917987</v>
      </c>
      <c r="M63" s="177">
        <f t="shared" si="9"/>
        <v>7.0463663337373056E-2</v>
      </c>
      <c r="N63" s="176">
        <f t="shared" si="10"/>
        <v>1.5774899915405109</v>
      </c>
      <c r="O63" s="178">
        <f t="shared" si="11"/>
        <v>14.242415602189782</v>
      </c>
      <c r="P63" s="263"/>
      <c r="Q63" t="s">
        <v>126</v>
      </c>
    </row>
    <row r="64" spans="1:17" x14ac:dyDescent="0.25">
      <c r="A64" s="335" t="s">
        <v>77</v>
      </c>
      <c r="B64" s="172">
        <v>721</v>
      </c>
      <c r="C64" s="261"/>
      <c r="D64" s="261" t="s">
        <v>16</v>
      </c>
      <c r="E64" s="261" t="s">
        <v>23</v>
      </c>
      <c r="F64" s="261">
        <v>2174066.7510000002</v>
      </c>
      <c r="G64" s="261">
        <v>111502.31200000001</v>
      </c>
      <c r="H64" s="313">
        <v>137546</v>
      </c>
      <c r="I64" s="313">
        <v>5889.9499999999798</v>
      </c>
      <c r="J64" s="261">
        <f t="shared" si="6"/>
        <v>2062564.4390000002</v>
      </c>
      <c r="K64" s="175">
        <f t="shared" si="7"/>
        <v>14.995451986971633</v>
      </c>
      <c r="L64" s="177">
        <f t="shared" si="8"/>
        <v>0.426347903636426</v>
      </c>
      <c r="M64" s="177">
        <f t="shared" si="9"/>
        <v>5.1287437218159267E-2</v>
      </c>
      <c r="N64" s="176">
        <f t="shared" si="10"/>
        <v>1.1481863853152425</v>
      </c>
      <c r="O64" s="178">
        <f t="shared" si="11"/>
        <v>23.352660039558991</v>
      </c>
      <c r="P64" s="263"/>
      <c r="Q64" t="s">
        <v>126</v>
      </c>
    </row>
    <row r="65" spans="1:17" x14ac:dyDescent="0.25">
      <c r="A65" s="335" t="s">
        <v>77</v>
      </c>
      <c r="B65" s="172">
        <v>721</v>
      </c>
      <c r="C65" s="261"/>
      <c r="D65" s="261" t="s">
        <v>16</v>
      </c>
      <c r="E65" s="261" t="s">
        <v>43</v>
      </c>
      <c r="F65" s="261">
        <v>302616.36200000002</v>
      </c>
      <c r="G65" s="261">
        <v>12852.73014</v>
      </c>
      <c r="H65" s="313">
        <v>17186</v>
      </c>
      <c r="I65" s="313">
        <v>858</v>
      </c>
      <c r="J65" s="261">
        <f t="shared" si="6"/>
        <v>289763.63186000002</v>
      </c>
      <c r="K65" s="175">
        <f t="shared" si="7"/>
        <v>16.860446401722335</v>
      </c>
      <c r="L65" s="177">
        <f t="shared" si="8"/>
        <v>0.40457764047179579</v>
      </c>
      <c r="M65" s="177">
        <f t="shared" si="9"/>
        <v>4.2472026479519961E-2</v>
      </c>
      <c r="N65" s="176">
        <f t="shared" si="10"/>
        <v>1.1946409597189365</v>
      </c>
      <c r="O65" s="178">
        <f t="shared" si="11"/>
        <v>20.030303030303031</v>
      </c>
      <c r="P65" s="263"/>
      <c r="Q65" t="s">
        <v>126</v>
      </c>
    </row>
    <row r="66" spans="1:17" x14ac:dyDescent="0.25">
      <c r="A66" s="335" t="s">
        <v>77</v>
      </c>
      <c r="B66" s="172">
        <v>721</v>
      </c>
      <c r="C66" s="261"/>
      <c r="D66" s="261" t="s">
        <v>16</v>
      </c>
      <c r="E66" s="261" t="s">
        <v>44</v>
      </c>
      <c r="F66" s="261">
        <v>341022.54330000002</v>
      </c>
      <c r="G66" s="261">
        <v>11822.815000000001</v>
      </c>
      <c r="H66" s="313">
        <v>16654</v>
      </c>
      <c r="I66" s="313">
        <v>957</v>
      </c>
      <c r="J66" s="261">
        <f t="shared" si="6"/>
        <v>329199.72830000002</v>
      </c>
      <c r="K66" s="175">
        <f t="shared" si="7"/>
        <v>19.767006623033506</v>
      </c>
      <c r="L66" s="177">
        <f t="shared" si="8"/>
        <v>0.39046987383071685</v>
      </c>
      <c r="M66" s="177">
        <f t="shared" si="9"/>
        <v>3.4668719802489374E-2</v>
      </c>
      <c r="N66" s="176">
        <f t="shared" si="10"/>
        <v>1.2432506836941313</v>
      </c>
      <c r="O66" s="178">
        <f t="shared" si="11"/>
        <v>17.402298850574713</v>
      </c>
      <c r="P66" s="263"/>
      <c r="Q66" t="s">
        <v>126</v>
      </c>
    </row>
    <row r="67" spans="1:17" x14ac:dyDescent="0.25">
      <c r="A67" s="335" t="s">
        <v>77</v>
      </c>
      <c r="B67" s="172">
        <v>722</v>
      </c>
      <c r="C67" s="261"/>
      <c r="D67" s="261" t="s">
        <v>16</v>
      </c>
      <c r="E67" s="261" t="s">
        <v>23</v>
      </c>
      <c r="F67" s="261">
        <v>2160792.8689999999</v>
      </c>
      <c r="G67" s="261">
        <v>93673.072660000005</v>
      </c>
      <c r="H67" s="313">
        <v>158926</v>
      </c>
      <c r="I67" s="313">
        <v>5975.2799999999797</v>
      </c>
      <c r="J67" s="261">
        <f t="shared" ref="J67:J80" si="12">+F67-G67</f>
        <v>2067119.7963399999</v>
      </c>
      <c r="K67" s="175">
        <f t="shared" ref="K67:K80" si="13">+J67/H67</f>
        <v>13.006806918565873</v>
      </c>
      <c r="L67" s="177">
        <f t="shared" ref="L67:L80" si="14">+IF(E67="Weekdays",K67/$G$113,IF(E67="Saturdays",K67/$G$114,IF(E67="Sundays",K67/$G$115,"NA")))</f>
        <v>0.36980711668793342</v>
      </c>
      <c r="M67" s="177">
        <f t="shared" ref="M67:M80" si="15">G67/F67</f>
        <v>4.3351250369199554E-2</v>
      </c>
      <c r="N67" s="176">
        <f t="shared" ref="N67:N80" si="16">+IF(E67="Weekdays",M67/$G$119,IF(E67="Saturdays",M67/$G$120,IF(E67="Sundays",M67/$G$121,"NA")))</f>
        <v>0.97051672222536856</v>
      </c>
      <c r="O67" s="178">
        <f t="shared" ref="O67:O80" si="17">+H67/I67</f>
        <v>26.597247325648429</v>
      </c>
      <c r="P67" s="263"/>
      <c r="Q67" t="s">
        <v>126</v>
      </c>
    </row>
    <row r="68" spans="1:17" x14ac:dyDescent="0.25">
      <c r="A68" s="335" t="s">
        <v>77</v>
      </c>
      <c r="B68" s="172">
        <v>722</v>
      </c>
      <c r="C68" s="261"/>
      <c r="D68" s="261" t="s">
        <v>16</v>
      </c>
      <c r="E68" s="261" t="s">
        <v>43</v>
      </c>
      <c r="F68" s="261">
        <v>447934.46769999998</v>
      </c>
      <c r="G68" s="261">
        <v>12386.129370000001</v>
      </c>
      <c r="H68" s="313">
        <v>23753</v>
      </c>
      <c r="I68" s="313">
        <v>1168.96</v>
      </c>
      <c r="J68" s="261">
        <f t="shared" si="12"/>
        <v>435548.33833</v>
      </c>
      <c r="K68" s="175">
        <f t="shared" si="13"/>
        <v>18.336561206163431</v>
      </c>
      <c r="L68" s="177">
        <f t="shared" si="14"/>
        <v>0.43999799829727182</v>
      </c>
      <c r="M68" s="177">
        <f t="shared" si="15"/>
        <v>2.7651655014624812E-2</v>
      </c>
      <c r="N68" s="176">
        <f t="shared" si="16"/>
        <v>0.77777780865759361</v>
      </c>
      <c r="O68" s="178">
        <f t="shared" si="17"/>
        <v>20.319771420750069</v>
      </c>
      <c r="P68" s="263"/>
      <c r="Q68" t="s">
        <v>126</v>
      </c>
    </row>
    <row r="69" spans="1:17" x14ac:dyDescent="0.25">
      <c r="A69" s="335" t="s">
        <v>77</v>
      </c>
      <c r="B69" s="172">
        <v>722</v>
      </c>
      <c r="C69" s="261"/>
      <c r="D69" s="261" t="s">
        <v>16</v>
      </c>
      <c r="E69" s="261" t="s">
        <v>44</v>
      </c>
      <c r="F69" s="261">
        <v>434615.23259999999</v>
      </c>
      <c r="G69" s="261">
        <v>10932.031720000001</v>
      </c>
      <c r="H69" s="313">
        <v>22252</v>
      </c>
      <c r="I69" s="313">
        <v>1219.1600000000001</v>
      </c>
      <c r="J69" s="261">
        <f t="shared" si="12"/>
        <v>423683.20087999996</v>
      </c>
      <c r="K69" s="175">
        <f t="shared" si="13"/>
        <v>19.040230131224156</v>
      </c>
      <c r="L69" s="177">
        <f t="shared" si="14"/>
        <v>0.37611340952269928</v>
      </c>
      <c r="M69" s="177">
        <f t="shared" si="15"/>
        <v>2.5153356118241127E-2</v>
      </c>
      <c r="N69" s="176">
        <f t="shared" si="16"/>
        <v>0.90202140054100799</v>
      </c>
      <c r="O69" s="178">
        <f t="shared" si="17"/>
        <v>18.251911151940678</v>
      </c>
      <c r="P69" s="263"/>
      <c r="Q69" t="s">
        <v>126</v>
      </c>
    </row>
    <row r="70" spans="1:17" x14ac:dyDescent="0.25">
      <c r="A70" s="335" t="s">
        <v>77</v>
      </c>
      <c r="B70" s="172">
        <v>723</v>
      </c>
      <c r="C70" s="261"/>
      <c r="D70" s="261" t="s">
        <v>16</v>
      </c>
      <c r="E70" s="261" t="s">
        <v>23</v>
      </c>
      <c r="F70" s="261">
        <v>2177957.4959999998</v>
      </c>
      <c r="G70" s="261">
        <v>82780.065740000005</v>
      </c>
      <c r="H70" s="313">
        <v>116602</v>
      </c>
      <c r="I70" s="313">
        <v>5733.54000000001</v>
      </c>
      <c r="J70" s="261">
        <f t="shared" si="12"/>
        <v>2095177.4302599998</v>
      </c>
      <c r="K70" s="175">
        <f t="shared" si="13"/>
        <v>17.968623439220593</v>
      </c>
      <c r="L70" s="177">
        <f t="shared" si="14"/>
        <v>0.51088056173298324</v>
      </c>
      <c r="M70" s="177">
        <f t="shared" si="15"/>
        <v>3.8008118107002768E-2</v>
      </c>
      <c r="N70" s="176">
        <f t="shared" si="16"/>
        <v>0.85089850670999478</v>
      </c>
      <c r="O70" s="178">
        <f t="shared" si="17"/>
        <v>20.336825067933564</v>
      </c>
      <c r="P70" s="263"/>
      <c r="Q70" t="s">
        <v>126</v>
      </c>
    </row>
    <row r="71" spans="1:17" x14ac:dyDescent="0.25">
      <c r="A71" s="335" t="s">
        <v>77</v>
      </c>
      <c r="B71" s="172">
        <v>723</v>
      </c>
      <c r="C71" s="261"/>
      <c r="D71" s="261" t="s">
        <v>16</v>
      </c>
      <c r="E71" s="261" t="s">
        <v>43</v>
      </c>
      <c r="F71" s="261">
        <v>151228.21780000001</v>
      </c>
      <c r="G71" s="261">
        <v>5110.5509140000004</v>
      </c>
      <c r="H71" s="313">
        <v>8183</v>
      </c>
      <c r="I71" s="313">
        <v>409.24</v>
      </c>
      <c r="J71" s="261">
        <f t="shared" si="12"/>
        <v>146117.66688600002</v>
      </c>
      <c r="K71" s="175">
        <f t="shared" si="13"/>
        <v>17.856246717096422</v>
      </c>
      <c r="L71" s="177">
        <f t="shared" si="14"/>
        <v>0.42847253224251208</v>
      </c>
      <c r="M71" s="177">
        <f t="shared" si="15"/>
        <v>3.3793633148270823E-2</v>
      </c>
      <c r="N71" s="176">
        <f t="shared" si="16"/>
        <v>0.95053760517188801</v>
      </c>
      <c r="O71" s="178">
        <f t="shared" si="17"/>
        <v>19.995601602971362</v>
      </c>
      <c r="P71" s="263"/>
      <c r="Q71" t="s">
        <v>126</v>
      </c>
    </row>
    <row r="72" spans="1:17" x14ac:dyDescent="0.25">
      <c r="A72" s="335" t="s">
        <v>77</v>
      </c>
      <c r="B72" s="172">
        <v>723</v>
      </c>
      <c r="C72" s="261"/>
      <c r="D72" s="261" t="s">
        <v>16</v>
      </c>
      <c r="E72" s="261" t="s">
        <v>44</v>
      </c>
      <c r="F72" s="261">
        <v>152003.9797</v>
      </c>
      <c r="G72" s="261">
        <v>4518.3921259999997</v>
      </c>
      <c r="H72" s="313">
        <v>7838</v>
      </c>
      <c r="I72" s="313">
        <v>412.96</v>
      </c>
      <c r="J72" s="261">
        <f t="shared" si="12"/>
        <v>147485.587574</v>
      </c>
      <c r="K72" s="175">
        <f t="shared" si="13"/>
        <v>18.816737378668027</v>
      </c>
      <c r="L72" s="177">
        <f t="shared" si="14"/>
        <v>0.3716986193343364</v>
      </c>
      <c r="M72" s="177">
        <f t="shared" si="15"/>
        <v>2.9725485707135072E-2</v>
      </c>
      <c r="N72" s="176">
        <f t="shared" si="16"/>
        <v>1.0659819756564008</v>
      </c>
      <c r="O72" s="178">
        <f t="shared" si="17"/>
        <v>18.98004649360713</v>
      </c>
      <c r="P72" s="263"/>
      <c r="Q72" t="s">
        <v>126</v>
      </c>
    </row>
    <row r="73" spans="1:17" x14ac:dyDescent="0.25">
      <c r="A73" s="335" t="s">
        <v>77</v>
      </c>
      <c r="B73" s="172">
        <v>724</v>
      </c>
      <c r="C73" s="261"/>
      <c r="D73" s="261" t="s">
        <v>16</v>
      </c>
      <c r="E73" s="261" t="s">
        <v>23</v>
      </c>
      <c r="F73" s="261">
        <v>5233936.6289999997</v>
      </c>
      <c r="G73" s="261">
        <v>243667.4026</v>
      </c>
      <c r="H73" s="313">
        <v>357193</v>
      </c>
      <c r="I73" s="313">
        <v>12397.57</v>
      </c>
      <c r="J73" s="261">
        <f t="shared" si="12"/>
        <v>4990269.2264</v>
      </c>
      <c r="K73" s="175">
        <f t="shared" si="13"/>
        <v>13.970792334676212</v>
      </c>
      <c r="L73" s="177">
        <f t="shared" si="14"/>
        <v>0.39721497085943891</v>
      </c>
      <c r="M73" s="177">
        <f t="shared" si="15"/>
        <v>4.6555283311971486E-2</v>
      </c>
      <c r="N73" s="176">
        <f t="shared" si="16"/>
        <v>1.0422463153291104</v>
      </c>
      <c r="O73" s="178">
        <f t="shared" si="17"/>
        <v>28.81153322788256</v>
      </c>
      <c r="P73" s="263"/>
      <c r="Q73" t="s">
        <v>126</v>
      </c>
    </row>
    <row r="74" spans="1:17" x14ac:dyDescent="0.25">
      <c r="A74" s="335" t="s">
        <v>77</v>
      </c>
      <c r="B74" s="172">
        <v>724</v>
      </c>
      <c r="C74" s="261"/>
      <c r="D74" s="261" t="s">
        <v>16</v>
      </c>
      <c r="E74" s="261" t="s">
        <v>43</v>
      </c>
      <c r="F74" s="261">
        <v>841410.45010000002</v>
      </c>
      <c r="G74" s="261">
        <v>34572.571519999998</v>
      </c>
      <c r="H74" s="313">
        <v>55570</v>
      </c>
      <c r="I74" s="313">
        <v>1988.7</v>
      </c>
      <c r="J74" s="261">
        <f t="shared" si="12"/>
        <v>806837.87858000002</v>
      </c>
      <c r="K74" s="175">
        <f t="shared" si="13"/>
        <v>14.519306794673385</v>
      </c>
      <c r="L74" s="177">
        <f t="shared" si="14"/>
        <v>0.3484004364009608</v>
      </c>
      <c r="M74" s="177">
        <f t="shared" si="15"/>
        <v>4.1088830684110372E-2</v>
      </c>
      <c r="N74" s="176">
        <f t="shared" si="16"/>
        <v>1.1557348257414557</v>
      </c>
      <c r="O74" s="178">
        <f t="shared" si="17"/>
        <v>27.942877256499219</v>
      </c>
      <c r="P74" s="263"/>
      <c r="Q74" t="s">
        <v>126</v>
      </c>
    </row>
    <row r="75" spans="1:17" x14ac:dyDescent="0.25">
      <c r="A75" s="335" t="s">
        <v>77</v>
      </c>
      <c r="B75" s="172">
        <v>724</v>
      </c>
      <c r="C75" s="261"/>
      <c r="D75" s="261" t="s">
        <v>16</v>
      </c>
      <c r="E75" s="261" t="s">
        <v>44</v>
      </c>
      <c r="F75" s="261">
        <v>916038.74470000004</v>
      </c>
      <c r="G75" s="261">
        <v>31620.26123</v>
      </c>
      <c r="H75" s="313">
        <v>55705</v>
      </c>
      <c r="I75" s="313">
        <v>2117.54</v>
      </c>
      <c r="J75" s="261">
        <f t="shared" si="12"/>
        <v>884418.48347000009</v>
      </c>
      <c r="K75" s="175">
        <f t="shared" si="13"/>
        <v>15.876824045776862</v>
      </c>
      <c r="L75" s="177">
        <f t="shared" si="14"/>
        <v>0.31362469797339504</v>
      </c>
      <c r="M75" s="177">
        <f t="shared" si="15"/>
        <v>3.4518475788221752E-2</v>
      </c>
      <c r="N75" s="176">
        <f t="shared" si="16"/>
        <v>1.2378628016343571</v>
      </c>
      <c r="O75" s="178">
        <f t="shared" si="17"/>
        <v>26.306468827035147</v>
      </c>
      <c r="P75" s="263"/>
      <c r="Q75" t="s">
        <v>126</v>
      </c>
    </row>
    <row r="76" spans="1:17" x14ac:dyDescent="0.25">
      <c r="A76" s="335" t="s">
        <v>77</v>
      </c>
      <c r="B76" s="172">
        <v>801</v>
      </c>
      <c r="C76" s="261"/>
      <c r="D76" s="261" t="s">
        <v>16</v>
      </c>
      <c r="E76" s="261" t="s">
        <v>23</v>
      </c>
      <c r="F76" s="261">
        <v>625625</v>
      </c>
      <c r="G76" s="261">
        <v>66211</v>
      </c>
      <c r="H76" s="313">
        <v>79043</v>
      </c>
      <c r="I76" s="313">
        <v>5306.88</v>
      </c>
      <c r="J76" s="261">
        <f t="shared" si="12"/>
        <v>559414</v>
      </c>
      <c r="K76" s="175">
        <f t="shared" si="13"/>
        <v>7.0773376516579587</v>
      </c>
      <c r="L76" s="177">
        <f t="shared" si="14"/>
        <v>0.20122154862241598</v>
      </c>
      <c r="M76" s="177">
        <f t="shared" si="15"/>
        <v>0.10583176823176824</v>
      </c>
      <c r="N76" s="176">
        <f t="shared" si="16"/>
        <v>2.3692857746171416</v>
      </c>
      <c r="O76" s="178">
        <f t="shared" si="17"/>
        <v>14.894438917028461</v>
      </c>
      <c r="P76" s="263"/>
      <c r="Q76" t="s">
        <v>126</v>
      </c>
    </row>
    <row r="77" spans="1:17" x14ac:dyDescent="0.25">
      <c r="A77" s="335" t="s">
        <v>77</v>
      </c>
      <c r="B77" s="172">
        <v>804</v>
      </c>
      <c r="C77" s="261"/>
      <c r="D77" s="261" t="s">
        <v>16</v>
      </c>
      <c r="E77" s="261" t="s">
        <v>23</v>
      </c>
      <c r="F77" s="261">
        <v>905868</v>
      </c>
      <c r="G77" s="261">
        <v>37243</v>
      </c>
      <c r="H77" s="313">
        <v>53806</v>
      </c>
      <c r="I77" s="313">
        <v>7040</v>
      </c>
      <c r="J77" s="261">
        <f t="shared" si="12"/>
        <v>868625</v>
      </c>
      <c r="K77" s="175">
        <f t="shared" si="13"/>
        <v>16.14364569007174</v>
      </c>
      <c r="L77" s="177">
        <f t="shared" si="14"/>
        <v>0.45899313358418548</v>
      </c>
      <c r="M77" s="177">
        <f t="shared" si="15"/>
        <v>4.1113053999037384E-2</v>
      </c>
      <c r="N77" s="176">
        <f t="shared" si="16"/>
        <v>0.92040958606742684</v>
      </c>
      <c r="O77" s="178">
        <f t="shared" si="17"/>
        <v>7.642897727272727</v>
      </c>
      <c r="P77" s="263"/>
      <c r="Q77" t="s">
        <v>126</v>
      </c>
    </row>
    <row r="78" spans="1:17" x14ac:dyDescent="0.25">
      <c r="A78" s="335" t="s">
        <v>77</v>
      </c>
      <c r="B78" s="172">
        <v>804</v>
      </c>
      <c r="C78" s="261"/>
      <c r="D78" s="261" t="s">
        <v>16</v>
      </c>
      <c r="E78" s="261" t="s">
        <v>43</v>
      </c>
      <c r="F78" s="261">
        <v>125451</v>
      </c>
      <c r="G78" s="261">
        <v>3454</v>
      </c>
      <c r="H78" s="313">
        <v>5694</v>
      </c>
      <c r="I78" s="313">
        <v>971.5</v>
      </c>
      <c r="J78" s="261">
        <f t="shared" si="12"/>
        <v>121997</v>
      </c>
      <c r="K78" s="175">
        <f t="shared" si="13"/>
        <v>21.425535651563049</v>
      </c>
      <c r="L78" s="177">
        <f t="shared" si="14"/>
        <v>0.51411999737256253</v>
      </c>
      <c r="M78" s="177">
        <f t="shared" si="15"/>
        <v>2.7532662154944959E-2</v>
      </c>
      <c r="N78" s="176">
        <f t="shared" si="16"/>
        <v>0.77443081168404004</v>
      </c>
      <c r="O78" s="178">
        <f t="shared" si="17"/>
        <v>5.8610396294390119</v>
      </c>
      <c r="P78" s="263"/>
    </row>
    <row r="79" spans="1:17" x14ac:dyDescent="0.25">
      <c r="A79" s="335" t="s">
        <v>77</v>
      </c>
      <c r="B79" s="172">
        <v>805</v>
      </c>
      <c r="C79" s="261"/>
      <c r="D79" s="261" t="s">
        <v>16</v>
      </c>
      <c r="E79" s="261" t="s">
        <v>23</v>
      </c>
      <c r="F79" s="261">
        <v>606149</v>
      </c>
      <c r="G79" s="261">
        <v>43995</v>
      </c>
      <c r="H79" s="313">
        <v>53823</v>
      </c>
      <c r="I79" s="313">
        <v>5637.12</v>
      </c>
      <c r="J79" s="261">
        <f t="shared" si="12"/>
        <v>562154</v>
      </c>
      <c r="K79" s="175">
        <f t="shared" si="13"/>
        <v>10.444493989558367</v>
      </c>
      <c r="L79" s="177">
        <f t="shared" si="14"/>
        <v>0.29695591175646535</v>
      </c>
      <c r="M79" s="177">
        <f t="shared" si="15"/>
        <v>7.2581164037225171E-2</v>
      </c>
      <c r="N79" s="176">
        <f t="shared" si="16"/>
        <v>1.6248950795374766</v>
      </c>
      <c r="O79" s="178">
        <f t="shared" si="17"/>
        <v>9.5479606607629428</v>
      </c>
      <c r="P79" s="263"/>
      <c r="Q79" t="s">
        <v>124</v>
      </c>
    </row>
    <row r="80" spans="1:17" ht="15.75" thickBot="1" x14ac:dyDescent="0.3">
      <c r="A80" s="340" t="s">
        <v>77</v>
      </c>
      <c r="B80" s="184">
        <v>805</v>
      </c>
      <c r="C80" s="268"/>
      <c r="D80" s="268" t="s">
        <v>16</v>
      </c>
      <c r="E80" s="268" t="s">
        <v>43</v>
      </c>
      <c r="F80" s="268">
        <v>97770</v>
      </c>
      <c r="G80" s="268">
        <v>4602</v>
      </c>
      <c r="H80" s="317">
        <v>7022</v>
      </c>
      <c r="I80" s="317">
        <v>934.2</v>
      </c>
      <c r="J80" s="268">
        <f t="shared" si="12"/>
        <v>93168</v>
      </c>
      <c r="K80" s="187">
        <f t="shared" si="13"/>
        <v>13.268014810595272</v>
      </c>
      <c r="L80" s="189">
        <f t="shared" si="14"/>
        <v>0.31837485188216175</v>
      </c>
      <c r="M80" s="189">
        <f t="shared" si="15"/>
        <v>4.706965326787358E-2</v>
      </c>
      <c r="N80" s="188">
        <f t="shared" si="16"/>
        <v>1.3239616852444009</v>
      </c>
      <c r="O80" s="190">
        <f t="shared" si="17"/>
        <v>7.5165917362449148</v>
      </c>
      <c r="P80" s="270"/>
      <c r="Q80" t="s">
        <v>126</v>
      </c>
    </row>
    <row r="81" spans="1:19" ht="24.75" thickBot="1" x14ac:dyDescent="0.45">
      <c r="A81" s="423" t="s">
        <v>141</v>
      </c>
      <c r="B81" s="423"/>
      <c r="C81" s="423"/>
      <c r="D81" s="423"/>
      <c r="E81" s="423"/>
      <c r="F81" s="423"/>
      <c r="G81" s="423"/>
      <c r="H81" s="423"/>
      <c r="I81" s="423"/>
      <c r="J81" s="423"/>
      <c r="K81" s="423"/>
      <c r="L81" s="423"/>
      <c r="M81" s="423"/>
      <c r="N81" s="423"/>
      <c r="O81" s="423"/>
      <c r="P81" s="423"/>
    </row>
    <row r="82" spans="1:19" x14ac:dyDescent="0.25">
      <c r="A82" s="334" t="s">
        <v>8</v>
      </c>
      <c r="B82" s="162">
        <v>410</v>
      </c>
      <c r="C82" s="255" t="s">
        <v>72</v>
      </c>
      <c r="D82" s="255" t="s">
        <v>16</v>
      </c>
      <c r="E82" s="255" t="s">
        <v>23</v>
      </c>
      <c r="F82" s="255">
        <v>397126.99</v>
      </c>
      <c r="G82" s="255">
        <v>13530.63</v>
      </c>
      <c r="H82" s="309">
        <v>7715</v>
      </c>
      <c r="I82" s="309">
        <v>1822.8300000000002</v>
      </c>
      <c r="J82" s="255">
        <f t="shared" ref="J82:J97" si="18">+F82-G82</f>
        <v>383596.36</v>
      </c>
      <c r="K82" s="165">
        <f t="shared" ref="K82:K97" si="19">+J82/H82</f>
        <v>49.720850291639664</v>
      </c>
      <c r="L82" s="439">
        <f t="shared" ref="L82:L97" si="20">+IF(E82="Weekdays",K82/$G$113,IF(E82="Saturdays",K82/$G$114,IF(E82="Sundays",K82/$G$115,"NA")))</f>
        <v>1.4136539737034104</v>
      </c>
      <c r="M82" s="439">
        <f t="shared" ref="M82:M97" si="21">G82/F82</f>
        <v>3.4071292913130886E-2</v>
      </c>
      <c r="N82" s="440">
        <f t="shared" ref="N82:N97" si="22">+IF(E82="Weekdays",M82/$G$119,IF(E82="Saturdays",M82/$G$120,IF(E82="Sundays",M82/$G$121,"NA")))</f>
        <v>0.76276368590110333</v>
      </c>
      <c r="O82" s="168">
        <f t="shared" ref="O82:O97" si="23">+H82/I82</f>
        <v>4.2324297932335977</v>
      </c>
      <c r="P82" s="441" t="s">
        <v>109</v>
      </c>
      <c r="Q82" t="s">
        <v>124</v>
      </c>
    </row>
    <row r="83" spans="1:19" x14ac:dyDescent="0.25">
      <c r="A83" s="335" t="s">
        <v>8</v>
      </c>
      <c r="B83" s="172">
        <v>420</v>
      </c>
      <c r="C83" s="261"/>
      <c r="D83" s="261" t="s">
        <v>16</v>
      </c>
      <c r="E83" s="261" t="s">
        <v>23</v>
      </c>
      <c r="F83" s="261">
        <v>901828.17</v>
      </c>
      <c r="G83" s="261">
        <v>13877.89</v>
      </c>
      <c r="H83" s="313">
        <v>7913</v>
      </c>
      <c r="I83" s="313">
        <v>3995.59</v>
      </c>
      <c r="J83" s="261">
        <f t="shared" si="18"/>
        <v>887950.28</v>
      </c>
      <c r="K83" s="175">
        <f t="shared" si="19"/>
        <v>112.21411348414003</v>
      </c>
      <c r="L83" s="336">
        <f t="shared" si="20"/>
        <v>3.1904508169509973</v>
      </c>
      <c r="M83" s="336">
        <f t="shared" si="21"/>
        <v>1.538861887625444E-2</v>
      </c>
      <c r="N83" s="337">
        <f t="shared" si="22"/>
        <v>0.34450936995277387</v>
      </c>
      <c r="O83" s="178">
        <f t="shared" si="23"/>
        <v>1.9804334278542093</v>
      </c>
      <c r="P83" s="339" t="s">
        <v>132</v>
      </c>
      <c r="Q83" t="s">
        <v>124</v>
      </c>
    </row>
    <row r="84" spans="1:19" x14ac:dyDescent="0.25">
      <c r="A84" s="335" t="s">
        <v>8</v>
      </c>
      <c r="B84" s="172">
        <v>436</v>
      </c>
      <c r="C84" s="261"/>
      <c r="D84" s="261" t="s">
        <v>16</v>
      </c>
      <c r="E84" s="261" t="s">
        <v>23</v>
      </c>
      <c r="F84" s="261">
        <v>954412.38</v>
      </c>
      <c r="G84" s="261">
        <v>23115.200000000001</v>
      </c>
      <c r="H84" s="313">
        <v>13180</v>
      </c>
      <c r="I84" s="313">
        <v>3764.19</v>
      </c>
      <c r="J84" s="261">
        <f t="shared" si="18"/>
        <v>931297.18</v>
      </c>
      <c r="K84" s="175">
        <f t="shared" si="19"/>
        <v>70.659877086494689</v>
      </c>
      <c r="L84" s="336">
        <f t="shared" si="20"/>
        <v>2.0089884915245224</v>
      </c>
      <c r="M84" s="336">
        <f t="shared" si="21"/>
        <v>2.4219300256771607E-2</v>
      </c>
      <c r="N84" s="337">
        <f t="shared" si="22"/>
        <v>0.54220433550618286</v>
      </c>
      <c r="O84" s="178">
        <f t="shared" si="23"/>
        <v>3.5014173035898826</v>
      </c>
      <c r="P84" s="339" t="s">
        <v>132</v>
      </c>
      <c r="Q84" t="s">
        <v>124</v>
      </c>
    </row>
    <row r="85" spans="1:19" x14ac:dyDescent="0.25">
      <c r="A85" s="335" t="s">
        <v>8</v>
      </c>
      <c r="B85" s="172">
        <v>440</v>
      </c>
      <c r="C85" s="261"/>
      <c r="D85" s="261" t="s">
        <v>16</v>
      </c>
      <c r="E85" s="261" t="s">
        <v>23</v>
      </c>
      <c r="F85" s="261">
        <v>914411.14</v>
      </c>
      <c r="G85" s="261">
        <v>23465.96</v>
      </c>
      <c r="H85" s="313">
        <v>13380</v>
      </c>
      <c r="I85" s="313">
        <v>4263.0500000000011</v>
      </c>
      <c r="J85" s="261">
        <f t="shared" si="18"/>
        <v>890945.18</v>
      </c>
      <c r="K85" s="175">
        <f t="shared" si="19"/>
        <v>66.587831091180874</v>
      </c>
      <c r="L85" s="336">
        <f t="shared" si="20"/>
        <v>1.8932128366712031</v>
      </c>
      <c r="M85" s="336">
        <f t="shared" si="21"/>
        <v>2.5662373273361475E-2</v>
      </c>
      <c r="N85" s="337">
        <f t="shared" si="22"/>
        <v>0.57451081991124919</v>
      </c>
      <c r="O85" s="178">
        <f t="shared" si="23"/>
        <v>3.1385979521703935</v>
      </c>
      <c r="P85" s="339" t="s">
        <v>143</v>
      </c>
      <c r="Q85" t="s">
        <v>124</v>
      </c>
    </row>
    <row r="86" spans="1:19" x14ac:dyDescent="0.25">
      <c r="A86" s="335" t="s">
        <v>8</v>
      </c>
      <c r="B86" s="172">
        <v>442</v>
      </c>
      <c r="C86" s="261"/>
      <c r="D86" s="261" t="s">
        <v>16</v>
      </c>
      <c r="E86" s="261" t="s">
        <v>23</v>
      </c>
      <c r="F86" s="261">
        <v>1437668.74</v>
      </c>
      <c r="G86" s="261">
        <v>55046.79</v>
      </c>
      <c r="H86" s="313">
        <v>31387</v>
      </c>
      <c r="I86" s="313">
        <v>6939.7899999999991</v>
      </c>
      <c r="J86" s="261">
        <f t="shared" si="18"/>
        <v>1382621.95</v>
      </c>
      <c r="K86" s="175">
        <f t="shared" si="19"/>
        <v>44.050783763978714</v>
      </c>
      <c r="L86" s="336">
        <f t="shared" si="20"/>
        <v>1.2524436961040675</v>
      </c>
      <c r="M86" s="336">
        <f t="shared" si="21"/>
        <v>3.8288924609990477E-2</v>
      </c>
      <c r="N86" s="337">
        <f t="shared" si="22"/>
        <v>0.85718500143709553</v>
      </c>
      <c r="O86" s="178">
        <f t="shared" si="23"/>
        <v>4.5227593342161656</v>
      </c>
      <c r="P86" s="339" t="s">
        <v>143</v>
      </c>
      <c r="Q86" t="s">
        <v>124</v>
      </c>
    </row>
    <row r="87" spans="1:19" x14ac:dyDescent="0.25">
      <c r="A87" s="335" t="s">
        <v>8</v>
      </c>
      <c r="B87" s="172">
        <v>445</v>
      </c>
      <c r="C87" s="261"/>
      <c r="D87" s="261" t="s">
        <v>16</v>
      </c>
      <c r="E87" s="261" t="s">
        <v>23</v>
      </c>
      <c r="F87" s="261">
        <v>1041651.53</v>
      </c>
      <c r="G87" s="261">
        <v>56733.95</v>
      </c>
      <c r="H87" s="313">
        <v>32349</v>
      </c>
      <c r="I87" s="313">
        <v>4628.3499999999995</v>
      </c>
      <c r="J87" s="261">
        <f t="shared" si="18"/>
        <v>984917.58000000007</v>
      </c>
      <c r="K87" s="175">
        <f t="shared" si="19"/>
        <v>30.446615969581753</v>
      </c>
      <c r="L87" s="336">
        <f t="shared" si="20"/>
        <v>0.86565252602806164</v>
      </c>
      <c r="M87" s="336">
        <f t="shared" si="21"/>
        <v>5.4465383447379945E-2</v>
      </c>
      <c r="N87" s="337">
        <f t="shared" si="22"/>
        <v>1.2193319677730681</v>
      </c>
      <c r="O87" s="178">
        <f t="shared" si="23"/>
        <v>6.9893158469000838</v>
      </c>
      <c r="P87" s="339" t="s">
        <v>111</v>
      </c>
      <c r="Q87" t="s">
        <v>124</v>
      </c>
    </row>
    <row r="88" spans="1:19" x14ac:dyDescent="0.25">
      <c r="A88" s="335" t="s">
        <v>8</v>
      </c>
      <c r="B88" s="172">
        <v>489</v>
      </c>
      <c r="C88" s="261"/>
      <c r="D88" s="261" t="s">
        <v>16</v>
      </c>
      <c r="E88" s="261" t="s">
        <v>23</v>
      </c>
      <c r="F88" s="261">
        <v>321587.46000000002</v>
      </c>
      <c r="G88" s="261">
        <v>6489.09</v>
      </c>
      <c r="H88" s="313">
        <v>3700</v>
      </c>
      <c r="I88" s="313">
        <v>1489.1</v>
      </c>
      <c r="J88" s="261">
        <f t="shared" si="18"/>
        <v>315098.37</v>
      </c>
      <c r="K88" s="175">
        <f t="shared" si="19"/>
        <v>85.161721621621624</v>
      </c>
      <c r="L88" s="336">
        <f t="shared" si="20"/>
        <v>2.4213022398386448</v>
      </c>
      <c r="M88" s="336">
        <f t="shared" si="21"/>
        <v>2.0178305460044989E-2</v>
      </c>
      <c r="N88" s="337">
        <f t="shared" si="22"/>
        <v>0.45173744028981538</v>
      </c>
      <c r="O88" s="178">
        <f t="shared" si="23"/>
        <v>2.4847223154925797</v>
      </c>
      <c r="P88" s="339" t="s">
        <v>106</v>
      </c>
      <c r="Q88" t="s">
        <v>124</v>
      </c>
    </row>
    <row r="89" spans="1:19" x14ac:dyDescent="0.25">
      <c r="A89" s="335" t="s">
        <v>77</v>
      </c>
      <c r="B89" s="172">
        <v>501</v>
      </c>
      <c r="C89" s="261"/>
      <c r="D89" s="261" t="s">
        <v>16</v>
      </c>
      <c r="E89" s="261" t="s">
        <v>23</v>
      </c>
      <c r="F89" s="261">
        <v>80905.998550000004</v>
      </c>
      <c r="G89" s="261">
        <v>639.66722930000003</v>
      </c>
      <c r="H89" s="313">
        <v>855</v>
      </c>
      <c r="I89" s="313">
        <v>118.4</v>
      </c>
      <c r="J89" s="261">
        <f t="shared" si="18"/>
        <v>80266.331320700003</v>
      </c>
      <c r="K89" s="175">
        <f t="shared" si="19"/>
        <v>93.878750082690061</v>
      </c>
      <c r="L89" s="177">
        <f t="shared" si="20"/>
        <v>2.6691431727791493</v>
      </c>
      <c r="M89" s="177">
        <f t="shared" si="21"/>
        <v>7.9063016434397625E-3</v>
      </c>
      <c r="N89" s="176">
        <f t="shared" si="22"/>
        <v>0.17700061452824672</v>
      </c>
      <c r="O89" s="178">
        <f t="shared" si="23"/>
        <v>7.2212837837837833</v>
      </c>
      <c r="P89" s="180" t="s">
        <v>88</v>
      </c>
      <c r="Q89" t="s">
        <v>124</v>
      </c>
    </row>
    <row r="90" spans="1:19" x14ac:dyDescent="0.25">
      <c r="A90" s="335" t="s">
        <v>8</v>
      </c>
      <c r="B90" s="172">
        <v>410</v>
      </c>
      <c r="C90" s="261" t="s">
        <v>72</v>
      </c>
      <c r="D90" s="261" t="s">
        <v>16</v>
      </c>
      <c r="E90" s="261" t="s">
        <v>43</v>
      </c>
      <c r="F90" s="261">
        <v>200981.74</v>
      </c>
      <c r="G90" s="261">
        <v>8467.39</v>
      </c>
      <c r="H90" s="313">
        <v>4828</v>
      </c>
      <c r="I90" s="313">
        <v>868.92000000000019</v>
      </c>
      <c r="J90" s="261">
        <f t="shared" si="18"/>
        <v>192514.34999999998</v>
      </c>
      <c r="K90" s="175">
        <f t="shared" si="19"/>
        <v>39.874554681027334</v>
      </c>
      <c r="L90" s="336">
        <f t="shared" si="20"/>
        <v>0.95681649603688312</v>
      </c>
      <c r="M90" s="336">
        <f t="shared" si="21"/>
        <v>4.21301457535396E-2</v>
      </c>
      <c r="N90" s="337">
        <f t="shared" si="22"/>
        <v>1.1850246368719084</v>
      </c>
      <c r="O90" s="178">
        <f t="shared" si="23"/>
        <v>5.5563227915112998</v>
      </c>
      <c r="P90" s="339" t="s">
        <v>113</v>
      </c>
      <c r="Q90" t="s">
        <v>124</v>
      </c>
    </row>
    <row r="91" spans="1:19" x14ac:dyDescent="0.25">
      <c r="A91" s="335" t="s">
        <v>8</v>
      </c>
      <c r="B91" s="172">
        <v>442</v>
      </c>
      <c r="C91" s="261"/>
      <c r="D91" s="261" t="s">
        <v>16</v>
      </c>
      <c r="E91" s="261" t="s">
        <v>43</v>
      </c>
      <c r="F91" s="261">
        <v>263242.23</v>
      </c>
      <c r="G91" s="261">
        <v>9300.4500000000007</v>
      </c>
      <c r="H91" s="313">
        <v>5303</v>
      </c>
      <c r="I91" s="313">
        <v>1229.58</v>
      </c>
      <c r="J91" s="261">
        <f t="shared" si="18"/>
        <v>253941.77999999997</v>
      </c>
      <c r="K91" s="175">
        <f t="shared" si="19"/>
        <v>47.886437865359227</v>
      </c>
      <c r="L91" s="336">
        <f t="shared" si="20"/>
        <v>1.149066968961582</v>
      </c>
      <c r="M91" s="336">
        <f t="shared" si="21"/>
        <v>3.5330387529386914E-2</v>
      </c>
      <c r="N91" s="337">
        <f t="shared" si="22"/>
        <v>0.99376299093477516</v>
      </c>
      <c r="O91" s="178">
        <f t="shared" si="23"/>
        <v>4.3128547959465839</v>
      </c>
      <c r="P91" s="339" t="s">
        <v>110</v>
      </c>
      <c r="Q91" t="s">
        <v>124</v>
      </c>
    </row>
    <row r="92" spans="1:19" ht="15.75" x14ac:dyDescent="0.25">
      <c r="A92" s="335" t="s">
        <v>8</v>
      </c>
      <c r="B92" s="172">
        <v>497</v>
      </c>
      <c r="C92" s="261"/>
      <c r="D92" s="261" t="s">
        <v>16</v>
      </c>
      <c r="E92" s="261" t="s">
        <v>43</v>
      </c>
      <c r="F92" s="261">
        <v>128683.26</v>
      </c>
      <c r="G92" s="261">
        <v>1781.87</v>
      </c>
      <c r="H92" s="313">
        <v>1016</v>
      </c>
      <c r="I92" s="313">
        <v>406.24</v>
      </c>
      <c r="J92" s="261">
        <f t="shared" si="18"/>
        <v>126901.39</v>
      </c>
      <c r="K92" s="175">
        <f t="shared" si="19"/>
        <v>124.90294291338583</v>
      </c>
      <c r="L92" s="336">
        <f t="shared" si="20"/>
        <v>2.9971293006049344</v>
      </c>
      <c r="M92" s="336">
        <f t="shared" si="21"/>
        <v>1.3846944816287681E-2</v>
      </c>
      <c r="N92" s="337">
        <f t="shared" si="22"/>
        <v>0.38948288592920549</v>
      </c>
      <c r="O92" s="178">
        <f t="shared" si="23"/>
        <v>2.5009846396218984</v>
      </c>
      <c r="P92" s="339" t="s">
        <v>114</v>
      </c>
      <c r="Q92" t="s">
        <v>124</v>
      </c>
      <c r="S92" s="136"/>
    </row>
    <row r="93" spans="1:19" ht="15.75" x14ac:dyDescent="0.25">
      <c r="A93" s="335" t="s">
        <v>8</v>
      </c>
      <c r="B93" s="172">
        <v>499</v>
      </c>
      <c r="C93" s="261"/>
      <c r="D93" s="261" t="s">
        <v>16</v>
      </c>
      <c r="E93" s="261" t="s">
        <v>43</v>
      </c>
      <c r="F93" s="261">
        <v>135056.72</v>
      </c>
      <c r="G93" s="261">
        <v>1702.95</v>
      </c>
      <c r="H93" s="313">
        <v>971</v>
      </c>
      <c r="I93" s="313">
        <v>698.22000000000014</v>
      </c>
      <c r="J93" s="261">
        <f t="shared" si="18"/>
        <v>133353.76999999999</v>
      </c>
      <c r="K93" s="175">
        <f t="shared" si="19"/>
        <v>137.33652935118434</v>
      </c>
      <c r="L93" s="336">
        <f t="shared" si="20"/>
        <v>3.2954814879522862</v>
      </c>
      <c r="M93" s="336">
        <f t="shared" si="21"/>
        <v>1.2609146734794094E-2</v>
      </c>
      <c r="N93" s="337">
        <f t="shared" si="22"/>
        <v>0.35466645707981209</v>
      </c>
      <c r="O93" s="178">
        <f t="shared" si="23"/>
        <v>1.390679155567013</v>
      </c>
      <c r="P93" s="339" t="s">
        <v>114</v>
      </c>
      <c r="Q93" t="s">
        <v>124</v>
      </c>
      <c r="S93" s="136"/>
    </row>
    <row r="94" spans="1:19" ht="15.75" x14ac:dyDescent="0.25">
      <c r="A94" s="335" t="s">
        <v>8</v>
      </c>
      <c r="B94" s="172">
        <v>410</v>
      </c>
      <c r="C94" s="261" t="s">
        <v>72</v>
      </c>
      <c r="D94" s="261" t="s">
        <v>16</v>
      </c>
      <c r="E94" s="261" t="s">
        <v>44</v>
      </c>
      <c r="F94" s="261">
        <v>218830.62</v>
      </c>
      <c r="G94" s="261">
        <v>7895.65</v>
      </c>
      <c r="H94" s="313">
        <v>4502</v>
      </c>
      <c r="I94" s="313">
        <v>947.43000000000018</v>
      </c>
      <c r="J94" s="261">
        <f t="shared" si="18"/>
        <v>210934.97</v>
      </c>
      <c r="K94" s="175">
        <f t="shared" si="19"/>
        <v>46.853613949355839</v>
      </c>
      <c r="L94" s="336">
        <f t="shared" si="20"/>
        <v>0.92552833497814113</v>
      </c>
      <c r="M94" s="336">
        <f t="shared" si="21"/>
        <v>3.6081102361269185E-2</v>
      </c>
      <c r="N94" s="337">
        <f t="shared" si="22"/>
        <v>1.2938999603863321</v>
      </c>
      <c r="O94" s="178">
        <f t="shared" si="23"/>
        <v>4.7518022439652521</v>
      </c>
      <c r="P94" s="339" t="s">
        <v>113</v>
      </c>
      <c r="Q94" t="s">
        <v>124</v>
      </c>
      <c r="S94" s="136"/>
    </row>
    <row r="95" spans="1:19" ht="15.75" x14ac:dyDescent="0.25">
      <c r="A95" s="335" t="s">
        <v>8</v>
      </c>
      <c r="B95" s="172">
        <v>442</v>
      </c>
      <c r="C95" s="261"/>
      <c r="D95" s="261" t="s">
        <v>16</v>
      </c>
      <c r="E95" s="261" t="s">
        <v>44</v>
      </c>
      <c r="F95" s="261">
        <v>268205.39</v>
      </c>
      <c r="G95" s="261">
        <v>7900.91</v>
      </c>
      <c r="H95" s="313">
        <v>4505</v>
      </c>
      <c r="I95" s="313">
        <v>1252.3499999999999</v>
      </c>
      <c r="J95" s="261">
        <f t="shared" si="18"/>
        <v>260304.48</v>
      </c>
      <c r="K95" s="175">
        <f t="shared" si="19"/>
        <v>57.781238623751392</v>
      </c>
      <c r="L95" s="336">
        <f t="shared" si="20"/>
        <v>1.141388445173513</v>
      </c>
      <c r="M95" s="336">
        <f t="shared" si="21"/>
        <v>2.9458431092678636E-2</v>
      </c>
      <c r="N95" s="337">
        <f t="shared" si="22"/>
        <v>1.0564051630743914</v>
      </c>
      <c r="O95" s="178">
        <f t="shared" si="23"/>
        <v>3.5972371940751389</v>
      </c>
      <c r="P95" s="339" t="s">
        <v>110</v>
      </c>
      <c r="Q95" t="s">
        <v>124</v>
      </c>
      <c r="S95" s="136"/>
    </row>
    <row r="96" spans="1:19" ht="15.75" x14ac:dyDescent="0.25">
      <c r="A96" s="335" t="s">
        <v>8</v>
      </c>
      <c r="B96" s="172">
        <v>497</v>
      </c>
      <c r="C96" s="261"/>
      <c r="D96" s="261" t="s">
        <v>16</v>
      </c>
      <c r="E96" s="261" t="s">
        <v>44</v>
      </c>
      <c r="F96" s="261">
        <v>131055.56</v>
      </c>
      <c r="G96" s="261">
        <v>1673.13</v>
      </c>
      <c r="H96" s="313">
        <v>954</v>
      </c>
      <c r="I96" s="313">
        <v>413.71000000000004</v>
      </c>
      <c r="J96" s="261">
        <f t="shared" si="18"/>
        <v>129382.43</v>
      </c>
      <c r="K96" s="175">
        <f t="shared" si="19"/>
        <v>135.62099580712788</v>
      </c>
      <c r="L96" s="336">
        <f t="shared" si="20"/>
        <v>2.679005179261615</v>
      </c>
      <c r="M96" s="336">
        <f t="shared" si="21"/>
        <v>1.2766570147806015E-2</v>
      </c>
      <c r="N96" s="337">
        <f t="shared" si="22"/>
        <v>0.45782039703552102</v>
      </c>
      <c r="O96" s="178">
        <f t="shared" si="23"/>
        <v>2.30596311425878</v>
      </c>
      <c r="P96" s="339" t="s">
        <v>114</v>
      </c>
      <c r="Q96" t="s">
        <v>124</v>
      </c>
      <c r="S96" s="136"/>
    </row>
    <row r="97" spans="1:19" ht="16.5" thickBot="1" x14ac:dyDescent="0.3">
      <c r="A97" s="340" t="s">
        <v>8</v>
      </c>
      <c r="B97" s="184">
        <v>499</v>
      </c>
      <c r="C97" s="268"/>
      <c r="D97" s="268" t="s">
        <v>16</v>
      </c>
      <c r="E97" s="268" t="s">
        <v>44</v>
      </c>
      <c r="F97" s="268">
        <v>137566.22</v>
      </c>
      <c r="G97" s="268">
        <v>1438.12</v>
      </c>
      <c r="H97" s="317">
        <v>820</v>
      </c>
      <c r="I97" s="317">
        <v>711.15</v>
      </c>
      <c r="J97" s="268">
        <f t="shared" si="18"/>
        <v>136128.1</v>
      </c>
      <c r="K97" s="187">
        <f t="shared" si="19"/>
        <v>166.00987804878051</v>
      </c>
      <c r="L97" s="442">
        <f t="shared" si="20"/>
        <v>3.2792955136073232</v>
      </c>
      <c r="M97" s="442">
        <f t="shared" si="21"/>
        <v>1.0454019889475773E-2</v>
      </c>
      <c r="N97" s="443">
        <f t="shared" si="22"/>
        <v>0.37489031752506646</v>
      </c>
      <c r="O97" s="190">
        <f t="shared" si="23"/>
        <v>1.153061941925051</v>
      </c>
      <c r="P97" s="444" t="s">
        <v>114</v>
      </c>
      <c r="Q97" t="s">
        <v>124</v>
      </c>
      <c r="S97" s="136"/>
    </row>
    <row r="98" spans="1:19" ht="24.75" thickBot="1" x14ac:dyDescent="0.45">
      <c r="A98" s="423" t="s">
        <v>142</v>
      </c>
      <c r="B98" s="423"/>
      <c r="C98" s="423"/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</row>
    <row r="99" spans="1:19" x14ac:dyDescent="0.25">
      <c r="A99" s="334" t="s">
        <v>77</v>
      </c>
      <c r="B99" s="162">
        <v>345</v>
      </c>
      <c r="C99" s="255"/>
      <c r="D99" s="255" t="s">
        <v>16</v>
      </c>
      <c r="E99" s="255" t="s">
        <v>23</v>
      </c>
      <c r="F99" s="255">
        <v>45363</v>
      </c>
      <c r="G99" s="255">
        <v>157</v>
      </c>
      <c r="H99" s="309">
        <v>717</v>
      </c>
      <c r="I99" s="309">
        <v>367.2</v>
      </c>
      <c r="J99" s="255">
        <f t="shared" ref="J99:J109" si="24">+F99-G99</f>
        <v>45206</v>
      </c>
      <c r="K99" s="165">
        <f t="shared" ref="K99:K109" si="25">+J99/H99</f>
        <v>63.048814504881449</v>
      </c>
      <c r="L99" s="167">
        <f t="shared" ref="L99:L109" si="26">+IF(E99="Weekdays",K99/$G$113,IF(E99="Saturdays",K99/$G$114,IF(E99="Sundays",K99/$G$115,"NA")))</f>
        <v>1.7925921748989389</v>
      </c>
      <c r="M99" s="310">
        <f t="shared" ref="M99:M109" si="27">G99/F99</f>
        <v>3.4609703943742696E-3</v>
      </c>
      <c r="N99" s="341">
        <f t="shared" ref="N99:N109" si="28">+IF(E99="Weekdays",M99/$G$119,IF(E99="Saturdays",M99/$G$120,IF(E99="Sundays",M99/$G$121,"NA")))</f>
        <v>7.7481724616036196E-2</v>
      </c>
      <c r="O99" s="192">
        <f t="shared" ref="O99:O109" si="29">+H99/I99</f>
        <v>1.9526143790849675</v>
      </c>
      <c r="P99" s="169" t="s">
        <v>89</v>
      </c>
      <c r="Q99" t="s">
        <v>126</v>
      </c>
    </row>
    <row r="100" spans="1:19" x14ac:dyDescent="0.25">
      <c r="A100" s="335" t="s">
        <v>77</v>
      </c>
      <c r="B100" s="172">
        <v>345</v>
      </c>
      <c r="C100" s="261"/>
      <c r="D100" s="261" t="s">
        <v>16</v>
      </c>
      <c r="E100" s="261" t="s">
        <v>43</v>
      </c>
      <c r="F100" s="261">
        <v>12563</v>
      </c>
      <c r="G100" s="261">
        <v>48</v>
      </c>
      <c r="H100" s="313">
        <v>133</v>
      </c>
      <c r="I100" s="313">
        <v>97.5</v>
      </c>
      <c r="J100" s="261">
        <f t="shared" si="24"/>
        <v>12515</v>
      </c>
      <c r="K100" s="175">
        <f t="shared" si="25"/>
        <v>94.097744360902254</v>
      </c>
      <c r="L100" s="177">
        <f t="shared" si="26"/>
        <v>2.2579380450664188</v>
      </c>
      <c r="M100" s="314">
        <f t="shared" si="27"/>
        <v>3.8207434529968958E-3</v>
      </c>
      <c r="N100" s="342">
        <f t="shared" si="28"/>
        <v>0.10746877424671553</v>
      </c>
      <c r="O100" s="195">
        <f t="shared" si="29"/>
        <v>1.3641025641025641</v>
      </c>
      <c r="P100" s="179" t="s">
        <v>89</v>
      </c>
      <c r="Q100" t="s">
        <v>126</v>
      </c>
    </row>
    <row r="101" spans="1:19" x14ac:dyDescent="0.25">
      <c r="A101" s="335" t="s">
        <v>77</v>
      </c>
      <c r="B101" s="172">
        <v>345</v>
      </c>
      <c r="C101" s="261"/>
      <c r="D101" s="261" t="s">
        <v>16</v>
      </c>
      <c r="E101" s="261" t="s">
        <v>44</v>
      </c>
      <c r="F101" s="261">
        <v>12555</v>
      </c>
      <c r="G101" s="261">
        <v>21</v>
      </c>
      <c r="H101" s="313">
        <v>155</v>
      </c>
      <c r="I101" s="313">
        <v>96.5</v>
      </c>
      <c r="J101" s="261">
        <f t="shared" si="24"/>
        <v>12534</v>
      </c>
      <c r="K101" s="175">
        <f t="shared" si="25"/>
        <v>80.864516129032253</v>
      </c>
      <c r="L101" s="177">
        <f t="shared" si="26"/>
        <v>1.5973666631695382</v>
      </c>
      <c r="M101" s="314">
        <f t="shared" si="27"/>
        <v>1.6726403823178017E-3</v>
      </c>
      <c r="N101" s="342">
        <f t="shared" si="28"/>
        <v>5.9982350393616254E-2</v>
      </c>
      <c r="O101" s="195">
        <f t="shared" si="29"/>
        <v>1.6062176165803108</v>
      </c>
      <c r="P101" s="179" t="s">
        <v>89</v>
      </c>
      <c r="Q101" t="s">
        <v>126</v>
      </c>
    </row>
    <row r="102" spans="1:19" x14ac:dyDescent="0.25">
      <c r="A102" s="335" t="s">
        <v>8</v>
      </c>
      <c r="B102" s="172">
        <v>436</v>
      </c>
      <c r="C102" s="261"/>
      <c r="D102" s="261" t="s">
        <v>16</v>
      </c>
      <c r="E102" s="261" t="s">
        <v>43</v>
      </c>
      <c r="F102" s="261">
        <v>68785.5</v>
      </c>
      <c r="G102" s="261">
        <v>997.92</v>
      </c>
      <c r="H102" s="313">
        <v>569</v>
      </c>
      <c r="I102" s="313">
        <v>337.63</v>
      </c>
      <c r="J102" s="261">
        <f t="shared" si="24"/>
        <v>67787.58</v>
      </c>
      <c r="K102" s="175">
        <f t="shared" si="25"/>
        <v>119.1345869947276</v>
      </c>
      <c r="L102" s="336">
        <f t="shared" si="26"/>
        <v>2.8587137586099214</v>
      </c>
      <c r="M102" s="314">
        <f t="shared" si="27"/>
        <v>1.450770874675622E-2</v>
      </c>
      <c r="N102" s="342">
        <f t="shared" si="28"/>
        <v>0.40806866394531283</v>
      </c>
      <c r="O102" s="195">
        <f t="shared" si="29"/>
        <v>1.6852767822764565</v>
      </c>
      <c r="P102" s="338" t="s">
        <v>119</v>
      </c>
    </row>
    <row r="103" spans="1:19" x14ac:dyDescent="0.25">
      <c r="A103" s="335" t="s">
        <v>8</v>
      </c>
      <c r="B103" s="172">
        <v>436</v>
      </c>
      <c r="C103" s="261"/>
      <c r="D103" s="261" t="s">
        <v>16</v>
      </c>
      <c r="E103" s="261" t="s">
        <v>44</v>
      </c>
      <c r="F103" s="261">
        <v>65186.37</v>
      </c>
      <c r="G103" s="261">
        <v>766.41</v>
      </c>
      <c r="H103" s="313">
        <v>437</v>
      </c>
      <c r="I103" s="313">
        <v>319.86</v>
      </c>
      <c r="J103" s="261">
        <f t="shared" si="24"/>
        <v>64419.96</v>
      </c>
      <c r="K103" s="175">
        <f t="shared" si="25"/>
        <v>147.41409610983982</v>
      </c>
      <c r="L103" s="336">
        <f t="shared" si="26"/>
        <v>2.9119615633560643</v>
      </c>
      <c r="M103" s="314">
        <f t="shared" si="27"/>
        <v>1.1757212435667148E-2</v>
      </c>
      <c r="N103" s="342">
        <f t="shared" si="28"/>
        <v>0.42162394464680364</v>
      </c>
      <c r="O103" s="195">
        <f t="shared" si="29"/>
        <v>1.3662227224410679</v>
      </c>
      <c r="P103" s="338" t="s">
        <v>118</v>
      </c>
    </row>
    <row r="104" spans="1:19" x14ac:dyDescent="0.25">
      <c r="A104" s="335" t="s">
        <v>24</v>
      </c>
      <c r="B104" s="172">
        <v>686</v>
      </c>
      <c r="C104" s="261"/>
      <c r="D104" s="261" t="s">
        <v>16</v>
      </c>
      <c r="E104" s="261" t="s">
        <v>23</v>
      </c>
      <c r="F104" s="261">
        <v>1734869.2279646406</v>
      </c>
      <c r="G104" s="261">
        <v>52564</v>
      </c>
      <c r="H104" s="313">
        <v>24403</v>
      </c>
      <c r="I104" s="313">
        <v>10088.11</v>
      </c>
      <c r="J104" s="261">
        <f t="shared" si="24"/>
        <v>1682305.2279646406</v>
      </c>
      <c r="K104" s="175">
        <f t="shared" si="25"/>
        <v>68.938459532214921</v>
      </c>
      <c r="L104" s="336">
        <f t="shared" si="26"/>
        <v>1.9600454675871466</v>
      </c>
      <c r="M104" s="314">
        <f t="shared" si="27"/>
        <v>3.0298537291867475E-2</v>
      </c>
      <c r="N104" s="342">
        <f t="shared" si="28"/>
        <v>0.67830193709056941</v>
      </c>
      <c r="O104" s="195">
        <f t="shared" si="29"/>
        <v>2.418986311608418</v>
      </c>
      <c r="P104" s="263" t="s">
        <v>128</v>
      </c>
    </row>
    <row r="105" spans="1:19" ht="15.75" x14ac:dyDescent="0.25">
      <c r="A105" s="335" t="s">
        <v>24</v>
      </c>
      <c r="B105" s="172">
        <v>686</v>
      </c>
      <c r="C105" s="261"/>
      <c r="D105" s="261" t="s">
        <v>16</v>
      </c>
      <c r="E105" s="261" t="s">
        <v>43</v>
      </c>
      <c r="F105" s="261">
        <v>191437.9436282989</v>
      </c>
      <c r="G105" s="261">
        <v>6869</v>
      </c>
      <c r="H105" s="313">
        <v>3189</v>
      </c>
      <c r="I105" s="313">
        <v>1100.19</v>
      </c>
      <c r="J105" s="261">
        <f t="shared" si="24"/>
        <v>184568.9436282989</v>
      </c>
      <c r="K105" s="175">
        <f t="shared" si="25"/>
        <v>57.876746198902133</v>
      </c>
      <c r="L105" s="336">
        <f t="shared" si="26"/>
        <v>1.3887910709733544</v>
      </c>
      <c r="M105" s="314">
        <f t="shared" si="27"/>
        <v>3.5881079110090301E-2</v>
      </c>
      <c r="N105" s="342">
        <f t="shared" si="28"/>
        <v>1.0092526855175816</v>
      </c>
      <c r="O105" s="195">
        <f t="shared" si="29"/>
        <v>2.8985902435033948</v>
      </c>
      <c r="P105" s="263" t="s">
        <v>128</v>
      </c>
      <c r="S105" s="136"/>
    </row>
    <row r="106" spans="1:19" ht="15.75" x14ac:dyDescent="0.25">
      <c r="A106" s="335" t="s">
        <v>24</v>
      </c>
      <c r="B106" s="172">
        <v>686</v>
      </c>
      <c r="C106" s="261"/>
      <c r="D106" s="261" t="s">
        <v>16</v>
      </c>
      <c r="E106" s="261" t="s">
        <v>44</v>
      </c>
      <c r="F106" s="261">
        <v>186529.27840706048</v>
      </c>
      <c r="G106" s="261">
        <v>2696</v>
      </c>
      <c r="H106" s="313">
        <v>2644</v>
      </c>
      <c r="I106" s="313">
        <v>1071.98</v>
      </c>
      <c r="J106" s="261">
        <f t="shared" si="24"/>
        <v>183833.27840706048</v>
      </c>
      <c r="K106" s="175">
        <f t="shared" si="25"/>
        <v>69.528471409629532</v>
      </c>
      <c r="L106" s="336">
        <f t="shared" si="26"/>
        <v>1.3734387799175185</v>
      </c>
      <c r="M106" s="314">
        <f t="shared" si="27"/>
        <v>1.4453495038545924E-2</v>
      </c>
      <c r="N106" s="342">
        <f t="shared" si="28"/>
        <v>0.51831500242335671</v>
      </c>
      <c r="O106" s="195">
        <f t="shared" si="29"/>
        <v>2.4664639265657939</v>
      </c>
      <c r="P106" s="263" t="s">
        <v>128</v>
      </c>
      <c r="S106" s="136"/>
    </row>
    <row r="107" spans="1:19" ht="15.75" x14ac:dyDescent="0.25">
      <c r="A107" s="335" t="s">
        <v>77</v>
      </c>
      <c r="B107" s="172">
        <v>725</v>
      </c>
      <c r="C107" s="261"/>
      <c r="D107" s="261" t="s">
        <v>16</v>
      </c>
      <c r="E107" s="261" t="s">
        <v>23</v>
      </c>
      <c r="F107" s="261">
        <v>51963</v>
      </c>
      <c r="G107" s="261">
        <v>354</v>
      </c>
      <c r="H107" s="313">
        <v>1184</v>
      </c>
      <c r="I107" s="313">
        <v>430.2</v>
      </c>
      <c r="J107" s="261">
        <f t="shared" si="24"/>
        <v>51609</v>
      </c>
      <c r="K107" s="175">
        <f t="shared" si="25"/>
        <v>43.588682432432435</v>
      </c>
      <c r="L107" s="177">
        <f t="shared" si="26"/>
        <v>1.2393053169379358</v>
      </c>
      <c r="M107" s="314">
        <f t="shared" si="27"/>
        <v>6.8125396917037119E-3</v>
      </c>
      <c r="N107" s="342">
        <f t="shared" si="28"/>
        <v>0.15251425588222517</v>
      </c>
      <c r="O107" s="195">
        <f t="shared" si="29"/>
        <v>2.7522082752208274</v>
      </c>
      <c r="P107" s="179" t="s">
        <v>89</v>
      </c>
      <c r="S107" s="136"/>
    </row>
    <row r="108" spans="1:19" x14ac:dyDescent="0.25">
      <c r="A108" s="335" t="s">
        <v>77</v>
      </c>
      <c r="B108" s="172">
        <v>725</v>
      </c>
      <c r="C108" s="261"/>
      <c r="D108" s="261" t="s">
        <v>16</v>
      </c>
      <c r="E108" s="261" t="s">
        <v>43</v>
      </c>
      <c r="F108" s="261">
        <v>14426</v>
      </c>
      <c r="G108" s="261">
        <v>59</v>
      </c>
      <c r="H108" s="313">
        <v>68</v>
      </c>
      <c r="I108" s="313">
        <v>110.5</v>
      </c>
      <c r="J108" s="261">
        <f t="shared" si="24"/>
        <v>14367</v>
      </c>
      <c r="K108" s="175">
        <f t="shared" si="25"/>
        <v>211.27941176470588</v>
      </c>
      <c r="L108" s="177">
        <f>+IF(E108="Weekdays",K108/$G$113,IF(E108="Saturdays",K108/$G$114,IF(E108="Sundays",K108/$G$115,"NA")))</f>
        <v>5.069790197447074</v>
      </c>
      <c r="M108" s="314">
        <f>G108/F108</f>
        <v>4.0898377928739772E-3</v>
      </c>
      <c r="N108" s="342">
        <f>+IF(E108="Weekdays",M108/$G$119,IF(E108="Saturdays",M108/$G$120,IF(E108="Sundays",M108/$G$121,"NA")))</f>
        <v>0.11503778253504629</v>
      </c>
      <c r="O108" s="195">
        <f t="shared" si="29"/>
        <v>0.61538461538461542</v>
      </c>
      <c r="P108" s="179" t="s">
        <v>89</v>
      </c>
    </row>
    <row r="109" spans="1:19" ht="15.75" thickBot="1" x14ac:dyDescent="0.3">
      <c r="A109" s="340" t="s">
        <v>77</v>
      </c>
      <c r="B109" s="184">
        <v>725</v>
      </c>
      <c r="C109" s="268"/>
      <c r="D109" s="268" t="s">
        <v>16</v>
      </c>
      <c r="E109" s="268" t="s">
        <v>44</v>
      </c>
      <c r="F109" s="268">
        <v>14426</v>
      </c>
      <c r="G109" s="268">
        <v>39</v>
      </c>
      <c r="H109" s="317">
        <v>151</v>
      </c>
      <c r="I109" s="317">
        <v>113</v>
      </c>
      <c r="J109" s="268">
        <f t="shared" si="24"/>
        <v>14387</v>
      </c>
      <c r="K109" s="187">
        <f t="shared" si="25"/>
        <v>95.278145695364245</v>
      </c>
      <c r="L109" s="189">
        <f t="shared" si="26"/>
        <v>1.8820879781131075</v>
      </c>
      <c r="M109" s="318">
        <f t="shared" si="27"/>
        <v>2.7034521003743242E-3</v>
      </c>
      <c r="N109" s="343">
        <f t="shared" si="28"/>
        <v>9.6948162241727004E-2</v>
      </c>
      <c r="O109" s="197">
        <f t="shared" si="29"/>
        <v>1.336283185840708</v>
      </c>
      <c r="P109" s="191" t="s">
        <v>89</v>
      </c>
    </row>
    <row r="110" spans="1:19" x14ac:dyDescent="0.25">
      <c r="A110" s="200"/>
      <c r="B110" s="200"/>
      <c r="C110" s="200"/>
      <c r="D110" s="200"/>
      <c r="E110" s="200"/>
      <c r="F110" s="200"/>
      <c r="G110" s="200"/>
      <c r="H110" s="200"/>
      <c r="I110" s="200"/>
      <c r="J110" s="301"/>
      <c r="K110" s="200"/>
      <c r="L110" s="200"/>
      <c r="M110" s="200"/>
      <c r="N110" s="200"/>
      <c r="O110" s="200"/>
      <c r="P110" s="344"/>
    </row>
    <row r="111" spans="1:19" ht="15.75" thickBot="1" x14ac:dyDescent="0.3">
      <c r="A111" s="200"/>
      <c r="B111" s="200"/>
      <c r="C111" s="200"/>
      <c r="D111" s="200"/>
      <c r="E111" s="320"/>
      <c r="F111" s="320" t="s">
        <v>70</v>
      </c>
      <c r="G111" s="320"/>
      <c r="H111" s="320"/>
      <c r="I111" s="320"/>
      <c r="J111" s="320"/>
      <c r="K111" s="320"/>
      <c r="L111" s="200"/>
      <c r="M111" s="200"/>
      <c r="N111" s="200"/>
      <c r="O111" s="200"/>
      <c r="P111" s="344"/>
    </row>
    <row r="112" spans="1:19" ht="24" x14ac:dyDescent="0.25">
      <c r="A112" s="200"/>
      <c r="B112" s="200"/>
      <c r="C112" s="200"/>
      <c r="D112" s="200"/>
      <c r="E112" s="206" t="s">
        <v>41</v>
      </c>
      <c r="F112" s="272" t="s">
        <v>33</v>
      </c>
      <c r="G112" s="273" t="s">
        <v>34</v>
      </c>
      <c r="H112" s="273" t="s">
        <v>35</v>
      </c>
      <c r="I112" s="273" t="s">
        <v>36</v>
      </c>
      <c r="J112" s="274" t="s">
        <v>37</v>
      </c>
      <c r="K112" s="209" t="s">
        <v>40</v>
      </c>
      <c r="L112" s="200"/>
      <c r="M112" s="200"/>
      <c r="N112" s="200"/>
      <c r="O112" s="200"/>
      <c r="P112" s="344"/>
    </row>
    <row r="113" spans="1:16" x14ac:dyDescent="0.25">
      <c r="A113" s="200"/>
      <c r="B113" s="200"/>
      <c r="C113" s="200"/>
      <c r="D113" s="200"/>
      <c r="E113" s="210">
        <f>COUNTIF($E$3:$E$109, "Weekdays")</f>
        <v>44</v>
      </c>
      <c r="F113" s="217" t="s">
        <v>23</v>
      </c>
      <c r="G113" s="218">
        <f>AVERAGEIF($E$3:$E$109,"Weekdays",K3:K109)</f>
        <v>35.171867526664819</v>
      </c>
      <c r="H113" s="219">
        <f>G113*1.2</f>
        <v>42.206241031997784</v>
      </c>
      <c r="I113" s="220">
        <f>G113*1.35</f>
        <v>47.482021160997512</v>
      </c>
      <c r="J113" s="221">
        <f>G113*1.6</f>
        <v>56.274988042663715</v>
      </c>
      <c r="K113" s="216">
        <f>+SUMIF($E$3:$E$109,"Weekdays",$J$3:$J$109)/SUMIF($E$3:$E$97,"Weekdays",$H$3:$H$109)</f>
        <v>18.622032523336514</v>
      </c>
      <c r="L113" s="200"/>
      <c r="M113" s="200"/>
      <c r="N113" s="200"/>
      <c r="O113" s="200"/>
      <c r="P113" s="344"/>
    </row>
    <row r="114" spans="1:16" x14ac:dyDescent="0.25">
      <c r="A114" s="200"/>
      <c r="B114" s="200"/>
      <c r="C114" s="200"/>
      <c r="D114" s="200"/>
      <c r="E114" s="210">
        <f>COUNTIF($E$3:$E$109, "Saturdays")</f>
        <v>34</v>
      </c>
      <c r="F114" s="217" t="s">
        <v>43</v>
      </c>
      <c r="G114" s="218">
        <f>AVERAGEIF($E$3:$E$109,"Saturdays",K3:K109)</f>
        <v>41.674192330699803</v>
      </c>
      <c r="H114" s="219">
        <f>G114*1.2</f>
        <v>50.00903079683976</v>
      </c>
      <c r="I114" s="220">
        <f>G114*1.35</f>
        <v>56.260159646444741</v>
      </c>
      <c r="J114" s="221">
        <f>G114*1.6</f>
        <v>66.678707729119694</v>
      </c>
      <c r="K114" s="216">
        <f>+SUMIF($E$3:$E$109,"Saturdays",$J$3:$J$109)/SUMIF($E$3:$E$109,"Saturdays",$H$3:$H$109)</f>
        <v>20.164953563587392</v>
      </c>
      <c r="L114" s="200"/>
      <c r="M114" s="200"/>
      <c r="N114" s="200"/>
      <c r="O114" s="200"/>
      <c r="P114" s="344"/>
    </row>
    <row r="115" spans="1:16" ht="15.75" thickBot="1" x14ac:dyDescent="0.3">
      <c r="A115" s="200"/>
      <c r="B115" s="200"/>
      <c r="C115" s="200"/>
      <c r="D115" s="200"/>
      <c r="E115" s="222">
        <f>COUNTIF($E$3:$E$109, "Sundays")</f>
        <v>27</v>
      </c>
      <c r="F115" s="217" t="s">
        <v>44</v>
      </c>
      <c r="G115" s="321">
        <f>AVERAGEIF($E$3:$E$109,"Sundays",K3:K109)</f>
        <v>50.623640766722083</v>
      </c>
      <c r="H115" s="219">
        <f>G115*1.2</f>
        <v>60.748368920066497</v>
      </c>
      <c r="I115" s="220">
        <f>G115*1.35</f>
        <v>68.34191503507482</v>
      </c>
      <c r="J115" s="221">
        <f>G115*1.6</f>
        <v>80.997825226755339</v>
      </c>
      <c r="K115" s="232">
        <f>+SUMIF($E$3:$E$109,"Sundays",$J$3:$J$109)/SUMIF($E$3:$E$109,"Sundays",$H$3:$H$109)</f>
        <v>23.562442791573147</v>
      </c>
      <c r="L115" s="200"/>
      <c r="M115" s="200"/>
      <c r="N115" s="200"/>
      <c r="O115" s="200"/>
      <c r="P115" s="344"/>
    </row>
    <row r="116" spans="1:16" ht="15.75" thickBot="1" x14ac:dyDescent="0.3">
      <c r="A116" s="200"/>
      <c r="B116" s="200"/>
      <c r="C116" s="200"/>
      <c r="D116" s="200"/>
      <c r="E116" s="200"/>
      <c r="F116" s="228" t="s">
        <v>39</v>
      </c>
      <c r="G116" s="229">
        <v>10</v>
      </c>
      <c r="H116" s="230"/>
      <c r="I116" s="230"/>
      <c r="J116" s="231"/>
      <c r="K116" s="232">
        <f>+SUM($J$3:$J$109)/SUM($H$3:$H$109)</f>
        <v>19.022466876780957</v>
      </c>
      <c r="L116" s="200"/>
      <c r="M116" s="200"/>
      <c r="N116" s="200"/>
      <c r="O116" s="200"/>
      <c r="P116" s="344"/>
    </row>
    <row r="117" spans="1:16" ht="15.75" thickBot="1" x14ac:dyDescent="0.3">
      <c r="A117" s="200"/>
      <c r="B117" s="200"/>
      <c r="C117" s="200"/>
      <c r="D117" s="200"/>
      <c r="E117" s="345"/>
      <c r="F117" s="345" t="s">
        <v>69</v>
      </c>
      <c r="G117" s="345"/>
      <c r="H117" s="345"/>
      <c r="I117" s="345"/>
      <c r="J117" s="345"/>
      <c r="K117" s="345"/>
      <c r="L117" s="200"/>
      <c r="M117" s="200"/>
      <c r="N117" s="200"/>
      <c r="O117" s="200"/>
      <c r="P117" s="344"/>
    </row>
    <row r="118" spans="1:16" ht="36" x14ac:dyDescent="0.25">
      <c r="A118" s="200"/>
      <c r="B118" s="200"/>
      <c r="C118" s="200"/>
      <c r="D118" s="200"/>
      <c r="E118" s="282"/>
      <c r="F118" s="206" t="s">
        <v>33</v>
      </c>
      <c r="G118" s="207" t="s">
        <v>34</v>
      </c>
      <c r="H118" s="207" t="s">
        <v>35</v>
      </c>
      <c r="I118" s="207" t="s">
        <v>36</v>
      </c>
      <c r="J118" s="208" t="s">
        <v>37</v>
      </c>
      <c r="K118" s="209" t="s">
        <v>123</v>
      </c>
      <c r="L118" s="200"/>
      <c r="M118" s="200"/>
      <c r="N118" s="200"/>
      <c r="O118" s="200"/>
      <c r="P118" s="344"/>
    </row>
    <row r="119" spans="1:16" x14ac:dyDescent="0.25">
      <c r="A119" s="200"/>
      <c r="B119" s="200"/>
      <c r="C119" s="200"/>
      <c r="D119" s="200"/>
      <c r="E119" s="283"/>
      <c r="F119" s="211" t="s">
        <v>23</v>
      </c>
      <c r="G119" s="233">
        <f>AVERAGEIF($E$3:$E$109,"Weekdays",$M$3:$M$109)</f>
        <v>4.4668215782821659E-2</v>
      </c>
      <c r="H119" s="234">
        <f>G119*0.8</f>
        <v>3.573457262625733E-2</v>
      </c>
      <c r="I119" s="235">
        <f>G119*0.65</f>
        <v>2.9034340258834078E-2</v>
      </c>
      <c r="J119" s="236">
        <f>G119*0.4</f>
        <v>1.7867286313128665E-2</v>
      </c>
      <c r="K119" s="237">
        <f>+SUMIF($E$3:$E$109,"Weekdays",$G$3:$G$109)/SUMIF($E$3:$E$109,"Weekdays",$F$3:$F$109)</f>
        <v>4.7614180487528149E-2</v>
      </c>
      <c r="L119" s="200"/>
      <c r="M119" s="200"/>
      <c r="N119" s="200"/>
      <c r="O119" s="200"/>
      <c r="P119" s="344"/>
    </row>
    <row r="120" spans="1:16" x14ac:dyDescent="0.25">
      <c r="A120" s="200"/>
      <c r="B120" s="200"/>
      <c r="C120" s="200"/>
      <c r="D120" s="200"/>
      <c r="E120" s="283"/>
      <c r="F120" s="217" t="s">
        <v>43</v>
      </c>
      <c r="G120" s="238">
        <f>AVERAGEIF($E$3:$E$109,"Saturdays",$M$3:$M$109)</f>
        <v>3.5552126464433606E-2</v>
      </c>
      <c r="H120" s="239">
        <f>G120*0.8</f>
        <v>2.8441701171546888E-2</v>
      </c>
      <c r="I120" s="240">
        <f>G120*0.65</f>
        <v>2.3108882201881845E-2</v>
      </c>
      <c r="J120" s="241">
        <f>G120*0.4</f>
        <v>1.4220850585773444E-2</v>
      </c>
      <c r="K120" s="237">
        <f>+SUMIF($E$3:$E$109,"Saturdays",$G$3:$G$109)/SUMIF($E$3:$E$109,"Saturdays",$F$3:$F$109)</f>
        <v>4.163843622443994E-2</v>
      </c>
      <c r="L120" s="200"/>
      <c r="M120" s="200"/>
      <c r="N120" s="200"/>
      <c r="O120" s="200"/>
      <c r="P120" s="344"/>
    </row>
    <row r="121" spans="1:16" ht="15.75" thickBot="1" x14ac:dyDescent="0.3">
      <c r="A121" s="200"/>
      <c r="B121" s="200"/>
      <c r="C121" s="200"/>
      <c r="D121" s="200"/>
      <c r="E121" s="283"/>
      <c r="F121" s="243" t="s">
        <v>44</v>
      </c>
      <c r="G121" s="446">
        <f>AVERAGEIF($E$3:$E$109,"Sundays",$M$3:$M$109)</f>
        <v>2.788554251945112E-2</v>
      </c>
      <c r="H121" s="245">
        <f>G121*0.8</f>
        <v>2.2308434015560898E-2</v>
      </c>
      <c r="I121" s="246">
        <f>G121*0.65</f>
        <v>1.8125602637643227E-2</v>
      </c>
      <c r="J121" s="247">
        <f>G121*0.4</f>
        <v>1.1154217007780449E-2</v>
      </c>
      <c r="K121" s="248">
        <f>+SUMIF($E$3:$E$109,"Sundays",$G$3:$G$109)/SUMIF($E$3:$E$109,"Sundays",$F$3:$F$109)</f>
        <v>3.5208795711577777E-2</v>
      </c>
      <c r="L121" s="200"/>
      <c r="M121" s="200"/>
      <c r="N121" s="200"/>
      <c r="O121" s="200"/>
      <c r="P121" s="344"/>
    </row>
  </sheetData>
  <autoFilter ref="A2:P109" xr:uid="{A7699148-0E12-4E72-99D8-E08F9F3D27D6}"/>
  <sortState xmlns:xlrd2="http://schemas.microsoft.com/office/spreadsheetml/2017/richdata2" ref="A99:P109">
    <sortCondition ref="B99:B109"/>
    <sortCondition ref="E99:E109" customList="Weekdays,Saturdays,Sundays"/>
  </sortState>
  <mergeCells count="1">
    <mergeCell ref="A1:P1"/>
  </mergeCells>
  <conditionalFormatting sqref="L3:L80 L82:L109">
    <cfRule type="cellIs" dxfId="50" priority="34" operator="between">
      <formula>1.35</formula>
      <formula>1.6</formula>
    </cfRule>
    <cfRule type="cellIs" dxfId="49" priority="35" operator="between">
      <formula>1.2</formula>
      <formula>1.35</formula>
    </cfRule>
    <cfRule type="cellIs" dxfId="48" priority="36" operator="greaterThan">
      <formula>1.6</formula>
    </cfRule>
  </conditionalFormatting>
  <conditionalFormatting sqref="O3:O80">
    <cfRule type="cellIs" dxfId="47" priority="1" operator="lessThan">
      <formula>10</formula>
    </cfRule>
  </conditionalFormatting>
  <conditionalFormatting sqref="O82:O97">
    <cfRule type="cellIs" dxfId="46" priority="2" operator="lessThan">
      <formula>10</formula>
    </cfRule>
  </conditionalFormatting>
  <conditionalFormatting sqref="O99:O109">
    <cfRule type="cellIs" dxfId="45" priority="3" operator="lessThan">
      <formula>10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87BB-8D16-4B1E-AAF0-49890808CA53}">
  <dimension ref="A1:T101"/>
  <sheetViews>
    <sheetView zoomScale="85" zoomScaleNormal="85" workbookViewId="0">
      <selection activeCell="L29" sqref="L29"/>
    </sheetView>
  </sheetViews>
  <sheetFormatPr defaultRowHeight="15" x14ac:dyDescent="0.25"/>
  <cols>
    <col min="1" max="1" width="25.5703125" bestFit="1" customWidth="1"/>
    <col min="2" max="2" width="9.42578125" customWidth="1"/>
    <col min="3" max="3" width="8.7109375" customWidth="1"/>
    <col min="4" max="4" width="20.7109375" customWidth="1"/>
    <col min="5" max="5" width="10.7109375" customWidth="1"/>
    <col min="6" max="6" width="15.28515625" customWidth="1"/>
    <col min="7" max="7" width="15.140625" bestFit="1" customWidth="1"/>
    <col min="8" max="8" width="12.7109375" bestFit="1" customWidth="1"/>
    <col min="9" max="9" width="14.42578125" customWidth="1"/>
    <col min="10" max="10" width="12.7109375" customWidth="1"/>
    <col min="11" max="11" width="11.7109375" customWidth="1"/>
    <col min="12" max="14" width="14.140625" customWidth="1"/>
    <col min="15" max="15" width="13.42578125" customWidth="1"/>
    <col min="16" max="16" width="35.7109375" customWidth="1"/>
    <col min="17" max="17" width="14.7109375" bestFit="1" customWidth="1"/>
    <col min="18" max="18" width="13.7109375" bestFit="1" customWidth="1"/>
  </cols>
  <sheetData>
    <row r="1" spans="1:20" ht="37.5" thickBot="1" x14ac:dyDescent="0.75">
      <c r="A1" s="470" t="s">
        <v>81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7"/>
    </row>
    <row r="2" spans="1:20" s="4" customFormat="1" ht="60.75" thickBot="1" x14ac:dyDescent="0.3">
      <c r="A2" s="152" t="s">
        <v>7</v>
      </c>
      <c r="B2" s="153" t="s">
        <v>49</v>
      </c>
      <c r="C2" s="154" t="s">
        <v>50</v>
      </c>
      <c r="D2" s="154" t="s">
        <v>0</v>
      </c>
      <c r="E2" s="155" t="s">
        <v>1</v>
      </c>
      <c r="F2" s="155" t="s">
        <v>2</v>
      </c>
      <c r="G2" s="155" t="s">
        <v>27</v>
      </c>
      <c r="H2" s="156" t="s">
        <v>29</v>
      </c>
      <c r="I2" s="156" t="s">
        <v>42</v>
      </c>
      <c r="J2" s="157" t="s">
        <v>28</v>
      </c>
      <c r="K2" s="158" t="s">
        <v>11</v>
      </c>
      <c r="L2" s="158" t="s">
        <v>48</v>
      </c>
      <c r="M2" s="159" t="s">
        <v>69</v>
      </c>
      <c r="N2" s="159" t="s">
        <v>71</v>
      </c>
      <c r="O2" s="154" t="s">
        <v>31</v>
      </c>
      <c r="P2" s="249" t="s">
        <v>32</v>
      </c>
    </row>
    <row r="3" spans="1:20" ht="15.75" x14ac:dyDescent="0.25">
      <c r="A3" s="161" t="s">
        <v>77</v>
      </c>
      <c r="B3" s="250">
        <v>921</v>
      </c>
      <c r="C3" s="250" t="s">
        <v>53</v>
      </c>
      <c r="D3" s="250" t="s">
        <v>65</v>
      </c>
      <c r="E3" s="250" t="s">
        <v>43</v>
      </c>
      <c r="F3" s="251">
        <v>1789427.294</v>
      </c>
      <c r="G3" s="252">
        <v>78824.987989999994</v>
      </c>
      <c r="H3" s="253">
        <v>197279</v>
      </c>
      <c r="I3" s="254">
        <v>4405.87</v>
      </c>
      <c r="J3" s="255">
        <f>F3-G3</f>
        <v>1710602.3060099999</v>
      </c>
      <c r="K3" s="165">
        <f>J3/H3</f>
        <v>8.6709802158871447</v>
      </c>
      <c r="L3" s="167">
        <f t="shared" ref="L3:L11" si="0">+IF(E3="Weekdays",K3/$G$24,IF(E3="Saturdays",K3/$G$25,IF(E3="Sundays",K3/$G$26, "NA")))</f>
        <v>0.93802357707468698</v>
      </c>
      <c r="M3" s="166">
        <f>(G3/F3)</f>
        <v>4.4050399954388982E-2</v>
      </c>
      <c r="N3" s="166">
        <f t="shared" ref="N3:N11" si="1">+IF(E3="Weekdays",M3/$G$30,IF(E3="Saturdays",M3/$G$31,IF(E3="Sundays",M3/$G$32,"NA")))</f>
        <v>1.4033635967456628</v>
      </c>
      <c r="O3" s="256">
        <f>H3/I3</f>
        <v>44.776400574687862</v>
      </c>
      <c r="P3" s="257"/>
    </row>
    <row r="4" spans="1:20" ht="15.75" x14ac:dyDescent="0.25">
      <c r="A4" s="170" t="s">
        <v>77</v>
      </c>
      <c r="B4" s="200">
        <v>921</v>
      </c>
      <c r="C4" s="200" t="s">
        <v>53</v>
      </c>
      <c r="D4" s="200" t="s">
        <v>65</v>
      </c>
      <c r="E4" s="200" t="s">
        <v>44</v>
      </c>
      <c r="F4" s="202">
        <v>1918635.808</v>
      </c>
      <c r="G4" s="258">
        <v>68871.969509999995</v>
      </c>
      <c r="H4" s="259">
        <v>190017</v>
      </c>
      <c r="I4" s="260">
        <v>4635</v>
      </c>
      <c r="J4" s="261">
        <f t="shared" ref="J4:J11" si="2">F4-G4</f>
        <v>1849763.83849</v>
      </c>
      <c r="K4" s="175">
        <f t="shared" ref="K4:K11" si="3">J4/H4</f>
        <v>9.7347281479551828</v>
      </c>
      <c r="L4" s="177">
        <f t="shared" si="0"/>
        <v>0.86603383376869381</v>
      </c>
      <c r="M4" s="176">
        <f t="shared" ref="M4:M11" si="4">(G4/F4)</f>
        <v>3.5896322388454034E-2</v>
      </c>
      <c r="N4" s="176">
        <f t="shared" si="1"/>
        <v>1.3199498397764566</v>
      </c>
      <c r="O4" s="262">
        <f t="shared" ref="O4:O11" si="5">H4/I4</f>
        <v>40.996116504854371</v>
      </c>
      <c r="P4" s="263"/>
    </row>
    <row r="5" spans="1:20" ht="15.75" x14ac:dyDescent="0.25">
      <c r="A5" s="170" t="s">
        <v>77</v>
      </c>
      <c r="B5" s="200">
        <v>921</v>
      </c>
      <c r="C5" s="200" t="s">
        <v>53</v>
      </c>
      <c r="D5" s="200" t="s">
        <v>65</v>
      </c>
      <c r="E5" s="200" t="s">
        <v>23</v>
      </c>
      <c r="F5" s="202">
        <v>9624584.2709999997</v>
      </c>
      <c r="G5" s="258">
        <v>419567.40710000001</v>
      </c>
      <c r="H5" s="259">
        <v>1043202</v>
      </c>
      <c r="I5" s="260">
        <v>24382.709999999901</v>
      </c>
      <c r="J5" s="261">
        <f t="shared" si="2"/>
        <v>9205016.8639000002</v>
      </c>
      <c r="K5" s="175">
        <f t="shared" si="3"/>
        <v>8.8238105984267676</v>
      </c>
      <c r="L5" s="177">
        <f t="shared" si="0"/>
        <v>1.0657985293081518</v>
      </c>
      <c r="M5" s="176">
        <f t="shared" si="4"/>
        <v>4.3593301828548148E-2</v>
      </c>
      <c r="N5" s="176">
        <f t="shared" si="1"/>
        <v>1.05466163464938</v>
      </c>
      <c r="O5" s="262">
        <f t="shared" si="5"/>
        <v>42.784497703495809</v>
      </c>
      <c r="P5" s="263"/>
    </row>
    <row r="6" spans="1:20" ht="15.75" x14ac:dyDescent="0.25">
      <c r="A6" s="170" t="s">
        <v>77</v>
      </c>
      <c r="B6" s="200">
        <v>923</v>
      </c>
      <c r="C6" s="200" t="s">
        <v>54</v>
      </c>
      <c r="D6" s="200" t="s">
        <v>65</v>
      </c>
      <c r="E6" s="200" t="s">
        <v>43</v>
      </c>
      <c r="F6" s="202">
        <v>1956435.702</v>
      </c>
      <c r="G6" s="258">
        <v>33697.058819999998</v>
      </c>
      <c r="H6" s="259">
        <v>212361</v>
      </c>
      <c r="I6" s="260">
        <v>5155.8</v>
      </c>
      <c r="J6" s="261">
        <f t="shared" si="2"/>
        <v>1922738.6431800001</v>
      </c>
      <c r="K6" s="175">
        <f t="shared" si="3"/>
        <v>9.0541042996595422</v>
      </c>
      <c r="L6" s="176">
        <f t="shared" si="0"/>
        <v>0.979469805133792</v>
      </c>
      <c r="M6" s="176">
        <f t="shared" si="4"/>
        <v>1.7223698578773941E-2</v>
      </c>
      <c r="N6" s="176">
        <f t="shared" si="1"/>
        <v>0.54871491772603209</v>
      </c>
      <c r="O6" s="262">
        <f t="shared" si="5"/>
        <v>41.188758291632723</v>
      </c>
      <c r="P6" s="263"/>
    </row>
    <row r="7" spans="1:20" ht="15.75" customHeight="1" x14ac:dyDescent="0.25">
      <c r="A7" s="170" t="s">
        <v>77</v>
      </c>
      <c r="B7" s="200">
        <v>923</v>
      </c>
      <c r="C7" s="200" t="s">
        <v>54</v>
      </c>
      <c r="D7" s="200" t="s">
        <v>65</v>
      </c>
      <c r="E7" s="200" t="s">
        <v>44</v>
      </c>
      <c r="F7" s="202">
        <v>2123599.2629999998</v>
      </c>
      <c r="G7" s="258">
        <v>30681.969519999999</v>
      </c>
      <c r="H7" s="259">
        <v>204974</v>
      </c>
      <c r="I7" s="260">
        <v>5583.6600000000099</v>
      </c>
      <c r="J7" s="261">
        <f t="shared" si="2"/>
        <v>2092917.2934799998</v>
      </c>
      <c r="K7" s="175">
        <f t="shared" si="3"/>
        <v>10.210647660093475</v>
      </c>
      <c r="L7" s="176">
        <f t="shared" si="0"/>
        <v>0.90837321843338292</v>
      </c>
      <c r="M7" s="176">
        <f t="shared" si="4"/>
        <v>1.4448097649391584E-2</v>
      </c>
      <c r="N7" s="176">
        <f t="shared" si="1"/>
        <v>0.53127348175152023</v>
      </c>
      <c r="O7" s="262">
        <f t="shared" si="5"/>
        <v>36.709613407693098</v>
      </c>
      <c r="P7" s="263"/>
    </row>
    <row r="8" spans="1:20" ht="15.75" x14ac:dyDescent="0.25">
      <c r="A8" s="170" t="s">
        <v>77</v>
      </c>
      <c r="B8" s="200">
        <v>923</v>
      </c>
      <c r="C8" s="200" t="s">
        <v>54</v>
      </c>
      <c r="D8" s="200" t="s">
        <v>65</v>
      </c>
      <c r="E8" s="200" t="s">
        <v>23</v>
      </c>
      <c r="F8" s="202">
        <v>10363792.27</v>
      </c>
      <c r="G8" s="258">
        <v>256350.45980000001</v>
      </c>
      <c r="H8" s="259">
        <v>1469599</v>
      </c>
      <c r="I8" s="260">
        <v>29108.610000000099</v>
      </c>
      <c r="J8" s="261">
        <f t="shared" si="2"/>
        <v>10107441.8102</v>
      </c>
      <c r="K8" s="175">
        <f t="shared" si="3"/>
        <v>6.8776869133688852</v>
      </c>
      <c r="L8" s="176">
        <f t="shared" si="0"/>
        <v>0.83073276738480928</v>
      </c>
      <c r="M8" s="177">
        <f t="shared" si="4"/>
        <v>2.4735198576109632E-2</v>
      </c>
      <c r="N8" s="176">
        <f t="shared" si="1"/>
        <v>0.59842369972932197</v>
      </c>
      <c r="O8" s="262">
        <f t="shared" si="5"/>
        <v>50.486746017758833</v>
      </c>
      <c r="P8" s="263"/>
    </row>
    <row r="9" spans="1:20" ht="15.75" x14ac:dyDescent="0.25">
      <c r="A9" s="170" t="s">
        <v>77</v>
      </c>
      <c r="B9" s="200">
        <v>924</v>
      </c>
      <c r="C9" s="200" t="s">
        <v>55</v>
      </c>
      <c r="D9" s="200" t="s">
        <v>65</v>
      </c>
      <c r="E9" s="200" t="s">
        <v>43</v>
      </c>
      <c r="F9" s="202">
        <v>3852614.9939999999</v>
      </c>
      <c r="G9" s="258">
        <v>107696.5465</v>
      </c>
      <c r="H9" s="259">
        <v>569466</v>
      </c>
      <c r="I9" s="260">
        <v>12020.6</v>
      </c>
      <c r="J9" s="261">
        <f t="shared" si="2"/>
        <v>3744918.4474999998</v>
      </c>
      <c r="K9" s="175">
        <f t="shared" si="3"/>
        <v>6.5761932187347441</v>
      </c>
      <c r="L9" s="176">
        <f t="shared" si="0"/>
        <v>0.71141025962319526</v>
      </c>
      <c r="M9" s="176">
        <f t="shared" si="4"/>
        <v>2.7954141970512197E-2</v>
      </c>
      <c r="N9" s="176">
        <f t="shared" si="1"/>
        <v>0.8905668339060836</v>
      </c>
      <c r="O9" s="262">
        <f t="shared" si="5"/>
        <v>47.374174334059866</v>
      </c>
      <c r="P9" s="263"/>
    </row>
    <row r="10" spans="1:20" ht="15.75" x14ac:dyDescent="0.25">
      <c r="A10" s="170" t="s">
        <v>77</v>
      </c>
      <c r="B10" s="200">
        <v>924</v>
      </c>
      <c r="C10" s="200" t="s">
        <v>55</v>
      </c>
      <c r="D10" s="200" t="s">
        <v>65</v>
      </c>
      <c r="E10" s="200" t="s">
        <v>44</v>
      </c>
      <c r="F10" s="202">
        <v>4140730.5759999999</v>
      </c>
      <c r="G10" s="258">
        <v>97936.955279999995</v>
      </c>
      <c r="H10" s="259">
        <v>557424</v>
      </c>
      <c r="I10" s="260">
        <v>12683.14</v>
      </c>
      <c r="J10" s="261">
        <f t="shared" si="2"/>
        <v>4042793.62072</v>
      </c>
      <c r="K10" s="175">
        <f t="shared" si="3"/>
        <v>7.2526364503860616</v>
      </c>
      <c r="L10" s="176">
        <f t="shared" si="0"/>
        <v>0.64521869071174487</v>
      </c>
      <c r="M10" s="177">
        <f t="shared" si="4"/>
        <v>2.3652095561988575E-2</v>
      </c>
      <c r="N10" s="176">
        <f t="shared" si="1"/>
        <v>0.86971527081743516</v>
      </c>
      <c r="O10" s="262">
        <f t="shared" si="5"/>
        <v>43.949999763465513</v>
      </c>
      <c r="P10" s="263"/>
    </row>
    <row r="11" spans="1:20" ht="15.75" x14ac:dyDescent="0.25">
      <c r="A11" s="170" t="s">
        <v>77</v>
      </c>
      <c r="B11" s="200">
        <v>924</v>
      </c>
      <c r="C11" s="200" t="s">
        <v>55</v>
      </c>
      <c r="D11" s="200" t="s">
        <v>65</v>
      </c>
      <c r="E11" s="200" t="s">
        <v>23</v>
      </c>
      <c r="F11" s="202">
        <v>20733981.59</v>
      </c>
      <c r="G11" s="258">
        <v>714515.08200000005</v>
      </c>
      <c r="H11" s="259">
        <v>3489156</v>
      </c>
      <c r="I11" s="260">
        <v>62493.08</v>
      </c>
      <c r="J11" s="261">
        <f t="shared" si="2"/>
        <v>20019466.508000001</v>
      </c>
      <c r="K11" s="175">
        <f t="shared" si="3"/>
        <v>5.7376243733441559</v>
      </c>
      <c r="L11" s="176">
        <f t="shared" si="0"/>
        <v>0.69302843149456328</v>
      </c>
      <c r="M11" s="177">
        <f t="shared" si="4"/>
        <v>3.446106474525909E-2</v>
      </c>
      <c r="N11" s="176">
        <f t="shared" si="1"/>
        <v>0.83372356191179364</v>
      </c>
      <c r="O11" s="262">
        <f t="shared" si="5"/>
        <v>55.832677794085356</v>
      </c>
      <c r="P11" s="263"/>
      <c r="Q11" s="2"/>
      <c r="S11" s="2"/>
      <c r="T11" s="2"/>
    </row>
    <row r="12" spans="1:20" ht="27.75" thickBot="1" x14ac:dyDescent="0.55000000000000004">
      <c r="A12" s="434" t="s">
        <v>141</v>
      </c>
      <c r="B12" s="434"/>
      <c r="C12" s="434"/>
      <c r="D12" s="434"/>
      <c r="E12" s="434"/>
      <c r="F12" s="434"/>
      <c r="G12" s="434"/>
      <c r="H12" s="434"/>
      <c r="I12" s="434"/>
      <c r="J12" s="434"/>
      <c r="K12" s="434"/>
      <c r="L12" s="434"/>
      <c r="M12" s="434"/>
      <c r="N12" s="434"/>
      <c r="O12" s="434"/>
      <c r="P12" s="434"/>
    </row>
    <row r="13" spans="1:20" ht="15.75" thickBot="1" x14ac:dyDescent="0.3">
      <c r="A13" s="141" t="s">
        <v>130</v>
      </c>
      <c r="B13" s="142"/>
      <c r="C13" s="142"/>
      <c r="D13" s="143"/>
      <c r="E13" s="138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4"/>
    </row>
    <row r="14" spans="1:20" ht="27.75" thickBot="1" x14ac:dyDescent="0.55000000000000004">
      <c r="A14" s="434" t="s">
        <v>144</v>
      </c>
      <c r="B14" s="434"/>
      <c r="C14" s="434"/>
      <c r="D14" s="434"/>
      <c r="E14" s="434"/>
      <c r="F14" s="434"/>
      <c r="G14" s="434"/>
      <c r="H14" s="434"/>
      <c r="I14" s="434"/>
      <c r="J14" s="434"/>
      <c r="K14" s="434"/>
      <c r="L14" s="434"/>
      <c r="M14" s="434"/>
      <c r="N14" s="434"/>
      <c r="O14" s="434"/>
      <c r="P14" s="434"/>
    </row>
    <row r="15" spans="1:20" ht="15.75" x14ac:dyDescent="0.25">
      <c r="A15" s="161" t="s">
        <v>77</v>
      </c>
      <c r="B15" s="162">
        <v>922</v>
      </c>
      <c r="C15" s="162" t="s">
        <v>90</v>
      </c>
      <c r="D15" s="162" t="s">
        <v>65</v>
      </c>
      <c r="E15" s="162" t="s">
        <v>43</v>
      </c>
      <c r="F15" s="165">
        <v>1952234.6529999999</v>
      </c>
      <c r="G15" s="290">
        <v>75328.027350000004</v>
      </c>
      <c r="H15" s="291">
        <v>231762</v>
      </c>
      <c r="I15" s="292">
        <v>5824.65</v>
      </c>
      <c r="J15" s="255">
        <f t="shared" ref="J15:J20" si="6">F15-G15</f>
        <v>1876906.6256499998</v>
      </c>
      <c r="K15" s="165">
        <f t="shared" ref="K15:K20" si="7">J15/H15</f>
        <v>8.0984226303276632</v>
      </c>
      <c r="L15" s="167">
        <f t="shared" ref="L15:L20" si="8">+IF(E15="Weekdays",K15/$G$24,IF(E15="Saturdays",K15/$G$25,IF(E15="Sundays",K15/$G$26, "NA")))</f>
        <v>0.8760844997021292</v>
      </c>
      <c r="M15" s="166">
        <f t="shared" ref="M15:M20" si="9">(G15/F15)</f>
        <v>3.8585539517108455E-2</v>
      </c>
      <c r="N15" s="166">
        <f t="shared" ref="N15:N20" si="10">+IF(E15="Weekdays",M15/$G$30,IF(E15="Saturdays",M15/$G$31,IF(E15="Sundays",M15/$G$32,"NA")))</f>
        <v>1.2292633341619867</v>
      </c>
      <c r="O15" s="256">
        <f t="shared" ref="O15:O20" si="11">H15/I15</f>
        <v>39.789858618114394</v>
      </c>
      <c r="P15" s="257" t="s">
        <v>121</v>
      </c>
    </row>
    <row r="16" spans="1:20" ht="15.75" x14ac:dyDescent="0.25">
      <c r="A16" s="170" t="s">
        <v>77</v>
      </c>
      <c r="B16" s="172">
        <v>922</v>
      </c>
      <c r="C16" s="172" t="s">
        <v>90</v>
      </c>
      <c r="D16" s="172" t="s">
        <v>65</v>
      </c>
      <c r="E16" s="172" t="s">
        <v>44</v>
      </c>
      <c r="F16" s="175">
        <v>2097397.6060000001</v>
      </c>
      <c r="G16" s="288">
        <v>70668.806630000006</v>
      </c>
      <c r="H16" s="289">
        <v>231608</v>
      </c>
      <c r="I16" s="264">
        <v>6209.28</v>
      </c>
      <c r="J16" s="261">
        <f t="shared" si="6"/>
        <v>2026728.7993700001</v>
      </c>
      <c r="K16" s="175">
        <f t="shared" si="7"/>
        <v>8.7506856385358027</v>
      </c>
      <c r="L16" s="176">
        <f t="shared" si="8"/>
        <v>0.7784901351598279</v>
      </c>
      <c r="M16" s="176">
        <f t="shared" si="9"/>
        <v>3.3693566936397086E-2</v>
      </c>
      <c r="N16" s="176">
        <f t="shared" si="10"/>
        <v>1.2389519404778788</v>
      </c>
      <c r="O16" s="262">
        <f t="shared" si="11"/>
        <v>37.300298907441764</v>
      </c>
      <c r="P16" s="263" t="s">
        <v>121</v>
      </c>
    </row>
    <row r="17" spans="1:20" ht="15.75" x14ac:dyDescent="0.25">
      <c r="A17" s="170" t="s">
        <v>77</v>
      </c>
      <c r="B17" s="172">
        <v>922</v>
      </c>
      <c r="C17" s="172" t="s">
        <v>90</v>
      </c>
      <c r="D17" s="172" t="s">
        <v>65</v>
      </c>
      <c r="E17" s="172" t="s">
        <v>23</v>
      </c>
      <c r="F17" s="175">
        <v>10124967.4</v>
      </c>
      <c r="G17" s="288">
        <v>501787.55190000002</v>
      </c>
      <c r="H17" s="289">
        <v>1382575</v>
      </c>
      <c r="I17" s="264">
        <v>29914.2399999999</v>
      </c>
      <c r="J17" s="261">
        <f t="shared" si="6"/>
        <v>9623179.848100001</v>
      </c>
      <c r="K17" s="175">
        <f t="shared" si="7"/>
        <v>6.9603311560674834</v>
      </c>
      <c r="L17" s="176">
        <f t="shared" si="8"/>
        <v>0.84071508866668909</v>
      </c>
      <c r="M17" s="176">
        <f t="shared" si="9"/>
        <v>4.955942395429342E-2</v>
      </c>
      <c r="N17" s="176">
        <f t="shared" si="10"/>
        <v>1.1990012430232453</v>
      </c>
      <c r="O17" s="262">
        <f t="shared" si="11"/>
        <v>46.217955060867489</v>
      </c>
      <c r="P17" s="263" t="s">
        <v>121</v>
      </c>
    </row>
    <row r="18" spans="1:20" ht="15.75" x14ac:dyDescent="0.25">
      <c r="A18" s="170" t="s">
        <v>77</v>
      </c>
      <c r="B18" s="172">
        <v>925</v>
      </c>
      <c r="C18" s="172" t="s">
        <v>91</v>
      </c>
      <c r="D18" s="172" t="s">
        <v>65</v>
      </c>
      <c r="E18" s="172" t="s">
        <v>43</v>
      </c>
      <c r="F18" s="175">
        <v>221672.1721</v>
      </c>
      <c r="G18" s="288">
        <v>6457.7545749999999</v>
      </c>
      <c r="H18" s="289">
        <v>15573</v>
      </c>
      <c r="I18" s="264">
        <v>644.12</v>
      </c>
      <c r="J18" s="261">
        <f t="shared" si="6"/>
        <v>215214.417525</v>
      </c>
      <c r="K18" s="175">
        <f t="shared" si="7"/>
        <v>13.819714732228858</v>
      </c>
      <c r="L18" s="176">
        <f t="shared" si="8"/>
        <v>1.4950118584661967</v>
      </c>
      <c r="M18" s="177">
        <f t="shared" si="9"/>
        <v>2.9132003867796269E-2</v>
      </c>
      <c r="N18" s="176">
        <f t="shared" si="10"/>
        <v>0.92809131746023465</v>
      </c>
      <c r="O18" s="262">
        <f t="shared" si="11"/>
        <v>24.177171955536235</v>
      </c>
      <c r="P18" s="263" t="s">
        <v>120</v>
      </c>
      <c r="Q18" s="5"/>
      <c r="S18" s="5"/>
      <c r="T18" s="7"/>
    </row>
    <row r="19" spans="1:20" ht="15.75" x14ac:dyDescent="0.25">
      <c r="A19" s="170" t="s">
        <v>77</v>
      </c>
      <c r="B19" s="172">
        <v>925</v>
      </c>
      <c r="C19" s="172" t="s">
        <v>91</v>
      </c>
      <c r="D19" s="172" t="s">
        <v>65</v>
      </c>
      <c r="E19" s="172" t="s">
        <v>44</v>
      </c>
      <c r="F19" s="175">
        <v>276409.93160000001</v>
      </c>
      <c r="G19" s="288">
        <v>7818.5320760000004</v>
      </c>
      <c r="H19" s="289">
        <v>13261</v>
      </c>
      <c r="I19" s="264">
        <v>805.15</v>
      </c>
      <c r="J19" s="261">
        <f t="shared" si="6"/>
        <v>268591.39952400001</v>
      </c>
      <c r="K19" s="175">
        <f t="shared" si="7"/>
        <v>20.254234184752281</v>
      </c>
      <c r="L19" s="176">
        <f t="shared" si="8"/>
        <v>1.8018841219263504</v>
      </c>
      <c r="M19" s="177">
        <f t="shared" si="9"/>
        <v>2.8286002716119481E-2</v>
      </c>
      <c r="N19" s="176">
        <f t="shared" si="10"/>
        <v>1.0401094671767097</v>
      </c>
      <c r="O19" s="262">
        <f t="shared" si="11"/>
        <v>16.470222939824879</v>
      </c>
      <c r="P19" s="263" t="s">
        <v>120</v>
      </c>
      <c r="Q19" s="5"/>
      <c r="S19" s="5"/>
      <c r="T19" s="7"/>
    </row>
    <row r="20" spans="1:20" ht="16.5" thickBot="1" x14ac:dyDescent="0.3">
      <c r="A20" s="182" t="s">
        <v>77</v>
      </c>
      <c r="B20" s="184">
        <v>925</v>
      </c>
      <c r="C20" s="184" t="s">
        <v>91</v>
      </c>
      <c r="D20" s="184" t="s">
        <v>65</v>
      </c>
      <c r="E20" s="184" t="s">
        <v>23</v>
      </c>
      <c r="F20" s="187">
        <v>1059850.679</v>
      </c>
      <c r="G20" s="265">
        <v>57571.747369999997</v>
      </c>
      <c r="H20" s="266">
        <v>77123</v>
      </c>
      <c r="I20" s="267">
        <v>3145.03</v>
      </c>
      <c r="J20" s="268">
        <f t="shared" si="6"/>
        <v>1002278.93163</v>
      </c>
      <c r="K20" s="187">
        <f t="shared" si="7"/>
        <v>12.995849897306899</v>
      </c>
      <c r="L20" s="188">
        <f t="shared" si="8"/>
        <v>1.5697251831457861</v>
      </c>
      <c r="M20" s="189">
        <f t="shared" si="9"/>
        <v>5.4320621301408814E-2</v>
      </c>
      <c r="N20" s="188">
        <f t="shared" si="10"/>
        <v>1.3141898606862594</v>
      </c>
      <c r="O20" s="269">
        <f t="shared" si="11"/>
        <v>24.522182618289808</v>
      </c>
      <c r="P20" s="270" t="s">
        <v>120</v>
      </c>
      <c r="Q20" s="5"/>
      <c r="S20" s="5"/>
      <c r="T20" s="7"/>
    </row>
    <row r="21" spans="1:20" x14ac:dyDescent="0.25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4"/>
      <c r="N21" s="204"/>
      <c r="O21" s="200"/>
      <c r="P21" s="200"/>
      <c r="Q21" s="5"/>
      <c r="R21" s="6"/>
      <c r="S21" s="5"/>
      <c r="T21" s="7"/>
    </row>
    <row r="22" spans="1:20" ht="15.75" thickBot="1" x14ac:dyDescent="0.3">
      <c r="A22" s="200"/>
      <c r="B22" s="200"/>
      <c r="C22" s="200"/>
      <c r="D22" s="200"/>
      <c r="E22" s="473" t="s">
        <v>70</v>
      </c>
      <c r="F22" s="473"/>
      <c r="G22" s="473"/>
      <c r="H22" s="473"/>
      <c r="I22" s="473"/>
      <c r="J22" s="473"/>
      <c r="K22" s="473"/>
      <c r="L22" s="200"/>
      <c r="M22" s="204"/>
      <c r="N22" s="204"/>
      <c r="O22" s="200"/>
      <c r="P22" s="200"/>
      <c r="Q22" s="5"/>
      <c r="R22" s="6"/>
      <c r="S22" s="5"/>
      <c r="T22" s="7"/>
    </row>
    <row r="23" spans="1:20" ht="36" x14ac:dyDescent="0.25">
      <c r="A23" s="200"/>
      <c r="B23" s="200"/>
      <c r="C23" s="200"/>
      <c r="D23" s="200"/>
      <c r="E23" s="206" t="s">
        <v>41</v>
      </c>
      <c r="F23" s="272" t="s">
        <v>33</v>
      </c>
      <c r="G23" s="273" t="s">
        <v>34</v>
      </c>
      <c r="H23" s="273" t="s">
        <v>35</v>
      </c>
      <c r="I23" s="273" t="s">
        <v>36</v>
      </c>
      <c r="J23" s="274" t="s">
        <v>37</v>
      </c>
      <c r="K23" s="209" t="s">
        <v>40</v>
      </c>
      <c r="L23" s="200"/>
      <c r="M23" s="204"/>
      <c r="N23" s="204"/>
      <c r="O23" s="200"/>
      <c r="P23" s="200"/>
      <c r="Q23" s="5"/>
      <c r="R23" s="6"/>
      <c r="S23" s="5"/>
    </row>
    <row r="24" spans="1:20" x14ac:dyDescent="0.25">
      <c r="A24" s="200"/>
      <c r="B24" s="200"/>
      <c r="C24" s="200"/>
      <c r="D24" s="200"/>
      <c r="E24" s="210">
        <f>COUNTIF($E$3:$E$20, "Weekdays")</f>
        <v>5</v>
      </c>
      <c r="F24" s="275" t="s">
        <v>6</v>
      </c>
      <c r="G24" s="276">
        <f>AVERAGEIF($E$3:$E$20,"Weekdays",K3:K20)</f>
        <v>8.2790605877028387</v>
      </c>
      <c r="H24" s="277">
        <f>G24*1.2</f>
        <v>9.9348727052434054</v>
      </c>
      <c r="I24" s="278">
        <f>G24*1.35</f>
        <v>11.176731793398833</v>
      </c>
      <c r="J24" s="279">
        <f>G24*1.6</f>
        <v>13.246496940324542</v>
      </c>
      <c r="K24" s="216">
        <f>+SUMIF($E$3:$E$20,"Weekdays",$J$3:$J$20)/SUMIF($E$3:$E$20,"Weekdays",$H$3:$H$20)</f>
        <v>6.6952149304450552</v>
      </c>
      <c r="L24" s="200"/>
      <c r="M24" s="204"/>
      <c r="N24" s="204"/>
      <c r="O24" s="200"/>
      <c r="P24" s="200"/>
      <c r="Q24" s="5"/>
      <c r="R24" s="6"/>
      <c r="S24" s="5"/>
    </row>
    <row r="25" spans="1:20" x14ac:dyDescent="0.25">
      <c r="A25" s="200"/>
      <c r="B25" s="200"/>
      <c r="C25" s="200"/>
      <c r="D25" s="200"/>
      <c r="E25" s="210">
        <f>COUNTIF($E$3:$E$20, "Saturdays")</f>
        <v>5</v>
      </c>
      <c r="F25" s="275" t="s">
        <v>9</v>
      </c>
      <c r="G25" s="276">
        <f>AVERAGEIF($E$3:$E$20,"Saturdays",K3:K20)</f>
        <v>9.2438830193675905</v>
      </c>
      <c r="H25" s="277">
        <f>G25*1.2</f>
        <v>11.092659623241108</v>
      </c>
      <c r="I25" s="278">
        <f>G25*1.35</f>
        <v>12.479242076146248</v>
      </c>
      <c r="J25" s="279">
        <f>G25*1.6</f>
        <v>14.790212830988146</v>
      </c>
      <c r="K25" s="216">
        <f>+SUMIF($E$3:$E$20,"saturdays",$J$3:$J$20)/SUMIF($E$3:$E$20,"saturdays",$H$3:$H$20)</f>
        <v>7.7218394034976008</v>
      </c>
      <c r="L25" s="200"/>
      <c r="M25" s="204"/>
      <c r="N25" s="204"/>
      <c r="O25" s="200"/>
      <c r="P25" s="200"/>
    </row>
    <row r="26" spans="1:20" ht="15.75" thickBot="1" x14ac:dyDescent="0.3">
      <c r="A26" s="200"/>
      <c r="B26" s="200"/>
      <c r="C26" s="200"/>
      <c r="D26" s="200"/>
      <c r="E26" s="222">
        <f>COUNTIF($E$3:$E$20, "Sundays")</f>
        <v>5</v>
      </c>
      <c r="F26" s="275" t="s">
        <v>10</v>
      </c>
      <c r="G26" s="280">
        <f>AVERAGEIF($E$3:$E$20,"Sundays",K3:K20)</f>
        <v>11.240586416344561</v>
      </c>
      <c r="H26" s="277">
        <f>G26*1.2</f>
        <v>13.488703699613472</v>
      </c>
      <c r="I26" s="278">
        <f>G26*1.35</f>
        <v>15.174791662065159</v>
      </c>
      <c r="J26" s="279">
        <f>G26*1.6</f>
        <v>17.9849382661513</v>
      </c>
      <c r="K26" s="232">
        <f>+SUMIF($E$3:$E$20,"Sundays",$J$3:$J$20)/SUMIF($E$3:$E$20,"Sundays",$H$3:$H$20)</f>
        <v>8.5867638351335192</v>
      </c>
      <c r="L26" s="200"/>
      <c r="M26" s="204"/>
      <c r="N26" s="204"/>
      <c r="O26" s="200"/>
      <c r="P26" s="200"/>
    </row>
    <row r="27" spans="1:20" ht="15.75" thickBot="1" x14ac:dyDescent="0.3">
      <c r="A27" s="200"/>
      <c r="B27" s="200"/>
      <c r="C27" s="200"/>
      <c r="D27" s="200"/>
      <c r="E27" s="200"/>
      <c r="F27" s="281" t="s">
        <v>39</v>
      </c>
      <c r="G27" s="229">
        <v>25</v>
      </c>
      <c r="H27" s="230"/>
      <c r="I27" s="230"/>
      <c r="J27" s="231"/>
      <c r="K27" s="232">
        <f>+SUM($J$3:$J$20)/SUM($H$3:$H$20)</f>
        <v>7.0516823180574741</v>
      </c>
      <c r="L27" s="200"/>
      <c r="M27" s="204"/>
      <c r="N27" s="204"/>
      <c r="O27" s="200"/>
      <c r="P27" s="200"/>
    </row>
    <row r="28" spans="1:20" ht="15.75" thickBot="1" x14ac:dyDescent="0.3">
      <c r="A28" s="200"/>
      <c r="B28" s="200"/>
      <c r="C28" s="200"/>
      <c r="D28" s="200"/>
      <c r="E28" s="474" t="s">
        <v>69</v>
      </c>
      <c r="F28" s="474"/>
      <c r="G28" s="474"/>
      <c r="H28" s="474"/>
      <c r="I28" s="474"/>
      <c r="J28" s="474"/>
      <c r="K28" s="474"/>
      <c r="L28" s="200"/>
      <c r="M28" s="204"/>
      <c r="N28" s="204"/>
      <c r="O28" s="200"/>
      <c r="P28" s="200"/>
    </row>
    <row r="29" spans="1:20" ht="36" x14ac:dyDescent="0.25">
      <c r="A29" s="200"/>
      <c r="B29" s="200"/>
      <c r="C29" s="200"/>
      <c r="D29" s="200"/>
      <c r="E29" s="282"/>
      <c r="F29" s="206" t="s">
        <v>33</v>
      </c>
      <c r="G29" s="207" t="s">
        <v>34</v>
      </c>
      <c r="H29" s="207" t="s">
        <v>35</v>
      </c>
      <c r="I29" s="207" t="s">
        <v>36</v>
      </c>
      <c r="J29" s="208" t="s">
        <v>37</v>
      </c>
      <c r="K29" s="209" t="s">
        <v>123</v>
      </c>
      <c r="L29" s="200"/>
      <c r="M29" s="204"/>
      <c r="N29" s="204"/>
      <c r="O29" s="200"/>
      <c r="P29" s="200"/>
    </row>
    <row r="30" spans="1:20" x14ac:dyDescent="0.25">
      <c r="A30" s="200"/>
      <c r="B30" s="200"/>
      <c r="C30" s="200"/>
      <c r="D30" s="200"/>
      <c r="E30" s="283"/>
      <c r="F30" s="211" t="s">
        <v>23</v>
      </c>
      <c r="G30" s="233">
        <f>AVERAGEIF($E$3:$E$20,"Weekdays",$M$3:$M$20)</f>
        <v>4.1333922081123818E-2</v>
      </c>
      <c r="H30" s="234">
        <f>G30*0.8</f>
        <v>3.3067137664899056E-2</v>
      </c>
      <c r="I30" s="235">
        <f>G30*0.65</f>
        <v>2.6867049352730484E-2</v>
      </c>
      <c r="J30" s="236">
        <f>G30*0.4</f>
        <v>1.6533568832449528E-2</v>
      </c>
      <c r="K30" s="237">
        <f>+SUMIF($E$3:$E$20,"Weekdays",$G$3:$G$20)/SUMIF($E$3:$E$20,"Weekdays",$F$3:$F$20)</f>
        <v>3.7563057568027941E-2</v>
      </c>
      <c r="L30" s="200"/>
      <c r="M30" s="204"/>
      <c r="N30" s="204"/>
      <c r="O30" s="200"/>
      <c r="P30" s="200"/>
    </row>
    <row r="31" spans="1:20" x14ac:dyDescent="0.25">
      <c r="A31" s="200"/>
      <c r="B31" s="200"/>
      <c r="C31" s="200"/>
      <c r="D31" s="200"/>
      <c r="E31" s="283"/>
      <c r="F31" s="217" t="s">
        <v>43</v>
      </c>
      <c r="G31" s="204">
        <f>AVERAGEIF($E$3:$E$101,"Saturdays",$M$3:$M$101)</f>
        <v>3.1389156777715969E-2</v>
      </c>
      <c r="H31" s="332">
        <f>G31*0.8</f>
        <v>2.5111325422172776E-2</v>
      </c>
      <c r="I31" s="333">
        <f>G31*0.65</f>
        <v>2.040295190551538E-2</v>
      </c>
      <c r="J31" s="241">
        <f>G31*0.4</f>
        <v>1.2555662711086388E-2</v>
      </c>
      <c r="K31" s="237">
        <f>+SUMIF($E$3:$E$20,"Saturdays",$G$3:$G$20)/SUMIF($E$3:$E$20,"Saturdays",$F$3:$F$20)</f>
        <v>3.0903856218223402E-2</v>
      </c>
      <c r="L31" s="200"/>
      <c r="M31" s="204"/>
      <c r="N31" s="204"/>
      <c r="O31" s="200"/>
      <c r="P31" s="200"/>
    </row>
    <row r="32" spans="1:20" ht="15.75" thickBot="1" x14ac:dyDescent="0.3">
      <c r="A32" s="200"/>
      <c r="B32" s="200"/>
      <c r="C32" s="200"/>
      <c r="D32" s="200"/>
      <c r="E32" s="283"/>
      <c r="F32" s="243" t="s">
        <v>44</v>
      </c>
      <c r="G32" s="446">
        <f>AVERAGEIF($E$3:$E$20,"Sundays",$M$3:$M$20)</f>
        <v>2.719521705047015E-2</v>
      </c>
      <c r="H32" s="245">
        <f>G32*0.8</f>
        <v>2.175617364037612E-2</v>
      </c>
      <c r="I32" s="246">
        <f>G32*0.65</f>
        <v>1.7676891082805599E-2</v>
      </c>
      <c r="J32" s="247">
        <f>G32*0.4</f>
        <v>1.087808682018806E-2</v>
      </c>
      <c r="K32" s="248">
        <f>+SUMIF($E$3:$E$20,"Sundays",$G$3:$G$20)/SUMIF($E$3:$E$20,"Sundays",$F$3:$F$20)</f>
        <v>2.6142290659288886E-2</v>
      </c>
      <c r="L32" s="200"/>
      <c r="M32" s="204"/>
      <c r="N32" s="204"/>
      <c r="O32" s="200"/>
      <c r="P32" s="200"/>
    </row>
    <row r="33" spans="13:14" x14ac:dyDescent="0.25">
      <c r="M33" s="26"/>
      <c r="N33" s="26"/>
    </row>
    <row r="34" spans="13:14" x14ac:dyDescent="0.25">
      <c r="M34" s="26"/>
      <c r="N34" s="26"/>
    </row>
    <row r="35" spans="13:14" x14ac:dyDescent="0.25">
      <c r="M35" s="26"/>
      <c r="N35" s="26"/>
    </row>
    <row r="36" spans="13:14" x14ac:dyDescent="0.25">
      <c r="M36" s="26"/>
      <c r="N36" s="26"/>
    </row>
    <row r="37" spans="13:14" x14ac:dyDescent="0.25">
      <c r="M37" s="26"/>
      <c r="N37" s="26"/>
    </row>
    <row r="38" spans="13:14" x14ac:dyDescent="0.25">
      <c r="M38" s="26"/>
      <c r="N38" s="26"/>
    </row>
    <row r="39" spans="13:14" x14ac:dyDescent="0.25">
      <c r="M39" s="26"/>
      <c r="N39" s="26"/>
    </row>
    <row r="40" spans="13:14" x14ac:dyDescent="0.25">
      <c r="M40" s="26"/>
      <c r="N40" s="26"/>
    </row>
    <row r="41" spans="13:14" x14ac:dyDescent="0.25">
      <c r="M41" s="26"/>
      <c r="N41" s="26"/>
    </row>
    <row r="42" spans="13:14" x14ac:dyDescent="0.25">
      <c r="M42" s="26"/>
      <c r="N42" s="26"/>
    </row>
    <row r="43" spans="13:14" x14ac:dyDescent="0.25">
      <c r="M43" s="26"/>
      <c r="N43" s="26"/>
    </row>
    <row r="44" spans="13:14" x14ac:dyDescent="0.25">
      <c r="M44" s="26"/>
      <c r="N44" s="26"/>
    </row>
    <row r="45" spans="13:14" x14ac:dyDescent="0.25">
      <c r="M45" s="26"/>
      <c r="N45" s="26"/>
    </row>
    <row r="46" spans="13:14" x14ac:dyDescent="0.25">
      <c r="M46" s="26"/>
      <c r="N46" s="26"/>
    </row>
    <row r="47" spans="13:14" x14ac:dyDescent="0.25">
      <c r="M47" s="26"/>
      <c r="N47" s="26"/>
    </row>
    <row r="48" spans="13:14" x14ac:dyDescent="0.25">
      <c r="M48" s="26"/>
      <c r="N48" s="26"/>
    </row>
    <row r="49" spans="13:14" x14ac:dyDescent="0.25">
      <c r="M49" s="26"/>
      <c r="N49" s="26"/>
    </row>
    <row r="50" spans="13:14" x14ac:dyDescent="0.25">
      <c r="M50" s="26"/>
      <c r="N50" s="26"/>
    </row>
    <row r="51" spans="13:14" x14ac:dyDescent="0.25">
      <c r="M51" s="26"/>
      <c r="N51" s="26"/>
    </row>
    <row r="52" spans="13:14" x14ac:dyDescent="0.25">
      <c r="M52" s="26"/>
      <c r="N52" s="26"/>
    </row>
    <row r="53" spans="13:14" x14ac:dyDescent="0.25">
      <c r="M53" s="26"/>
      <c r="N53" s="26"/>
    </row>
    <row r="54" spans="13:14" x14ac:dyDescent="0.25">
      <c r="M54" s="26"/>
      <c r="N54" s="26"/>
    </row>
    <row r="55" spans="13:14" x14ac:dyDescent="0.25">
      <c r="M55" s="26"/>
      <c r="N55" s="26"/>
    </row>
    <row r="56" spans="13:14" x14ac:dyDescent="0.25">
      <c r="M56" s="26"/>
      <c r="N56" s="26"/>
    </row>
    <row r="57" spans="13:14" x14ac:dyDescent="0.25">
      <c r="M57" s="26"/>
      <c r="N57" s="26"/>
    </row>
    <row r="58" spans="13:14" x14ac:dyDescent="0.25">
      <c r="M58" s="26"/>
      <c r="N58" s="26"/>
    </row>
    <row r="59" spans="13:14" x14ac:dyDescent="0.25">
      <c r="M59" s="26"/>
      <c r="N59" s="26"/>
    </row>
    <row r="60" spans="13:14" x14ac:dyDescent="0.25">
      <c r="M60" s="26"/>
      <c r="N60" s="26"/>
    </row>
    <row r="61" spans="13:14" x14ac:dyDescent="0.25">
      <c r="M61" s="26"/>
      <c r="N61" s="26"/>
    </row>
    <row r="62" spans="13:14" x14ac:dyDescent="0.25">
      <c r="M62" s="26"/>
      <c r="N62" s="26"/>
    </row>
    <row r="63" spans="13:14" x14ac:dyDescent="0.25">
      <c r="M63" s="26"/>
      <c r="N63" s="26"/>
    </row>
    <row r="64" spans="13:14" x14ac:dyDescent="0.25">
      <c r="M64" s="26"/>
      <c r="N64" s="26"/>
    </row>
    <row r="65" spans="13:14" x14ac:dyDescent="0.25">
      <c r="M65" s="26"/>
      <c r="N65" s="26"/>
    </row>
    <row r="66" spans="13:14" x14ac:dyDescent="0.25">
      <c r="M66" s="26"/>
      <c r="N66" s="26"/>
    </row>
    <row r="67" spans="13:14" x14ac:dyDescent="0.25">
      <c r="M67" s="26"/>
      <c r="N67" s="26"/>
    </row>
    <row r="68" spans="13:14" x14ac:dyDescent="0.25">
      <c r="M68" s="26"/>
      <c r="N68" s="26"/>
    </row>
    <row r="69" spans="13:14" x14ac:dyDescent="0.25">
      <c r="M69" s="26"/>
      <c r="N69" s="26"/>
    </row>
    <row r="70" spans="13:14" x14ac:dyDescent="0.25">
      <c r="M70" s="26"/>
      <c r="N70" s="26"/>
    </row>
    <row r="71" spans="13:14" x14ac:dyDescent="0.25">
      <c r="M71" s="26"/>
      <c r="N71" s="26"/>
    </row>
    <row r="72" spans="13:14" x14ac:dyDescent="0.25">
      <c r="M72" s="26"/>
      <c r="N72" s="26"/>
    </row>
    <row r="73" spans="13:14" x14ac:dyDescent="0.25">
      <c r="M73" s="26"/>
      <c r="N73" s="26"/>
    </row>
    <row r="74" spans="13:14" x14ac:dyDescent="0.25">
      <c r="M74" s="26"/>
      <c r="N74" s="26"/>
    </row>
    <row r="75" spans="13:14" x14ac:dyDescent="0.25">
      <c r="M75" s="26"/>
      <c r="N75" s="26"/>
    </row>
    <row r="76" spans="13:14" x14ac:dyDescent="0.25">
      <c r="M76" s="26"/>
      <c r="N76" s="26"/>
    </row>
    <row r="77" spans="13:14" x14ac:dyDescent="0.25">
      <c r="M77" s="26"/>
      <c r="N77" s="26"/>
    </row>
    <row r="78" spans="13:14" x14ac:dyDescent="0.25">
      <c r="M78" s="26"/>
      <c r="N78" s="26"/>
    </row>
    <row r="79" spans="13:14" x14ac:dyDescent="0.25">
      <c r="M79" s="26"/>
      <c r="N79" s="26"/>
    </row>
    <row r="80" spans="13:14" x14ac:dyDescent="0.25">
      <c r="M80" s="26"/>
      <c r="N80" s="26"/>
    </row>
    <row r="81" spans="13:14" x14ac:dyDescent="0.25">
      <c r="M81" s="26"/>
      <c r="N81" s="26"/>
    </row>
    <row r="82" spans="13:14" x14ac:dyDescent="0.25">
      <c r="M82" s="26"/>
      <c r="N82" s="26"/>
    </row>
    <row r="83" spans="13:14" x14ac:dyDescent="0.25">
      <c r="M83" s="26"/>
      <c r="N83" s="26"/>
    </row>
    <row r="84" spans="13:14" x14ac:dyDescent="0.25">
      <c r="M84" s="26"/>
      <c r="N84" s="26"/>
    </row>
    <row r="85" spans="13:14" x14ac:dyDescent="0.25">
      <c r="M85" s="26"/>
      <c r="N85" s="26"/>
    </row>
    <row r="86" spans="13:14" x14ac:dyDescent="0.25">
      <c r="M86" s="26"/>
      <c r="N86" s="26"/>
    </row>
    <row r="87" spans="13:14" x14ac:dyDescent="0.25">
      <c r="M87" s="26"/>
      <c r="N87" s="26"/>
    </row>
    <row r="88" spans="13:14" x14ac:dyDescent="0.25">
      <c r="M88" s="26"/>
      <c r="N88" s="26"/>
    </row>
    <row r="89" spans="13:14" x14ac:dyDescent="0.25">
      <c r="M89" s="26"/>
      <c r="N89" s="26"/>
    </row>
    <row r="90" spans="13:14" x14ac:dyDescent="0.25">
      <c r="M90" s="26"/>
      <c r="N90" s="26"/>
    </row>
    <row r="91" spans="13:14" x14ac:dyDescent="0.25">
      <c r="M91" s="26"/>
      <c r="N91" s="26"/>
    </row>
    <row r="92" spans="13:14" x14ac:dyDescent="0.25">
      <c r="M92" s="26"/>
      <c r="N92" s="26"/>
    </row>
    <row r="93" spans="13:14" x14ac:dyDescent="0.25">
      <c r="M93" s="26"/>
      <c r="N93" s="26"/>
    </row>
    <row r="94" spans="13:14" x14ac:dyDescent="0.25">
      <c r="M94" s="26"/>
      <c r="N94" s="26"/>
    </row>
    <row r="95" spans="13:14" x14ac:dyDescent="0.25">
      <c r="M95" s="26"/>
      <c r="N95" s="26"/>
    </row>
    <row r="96" spans="13:14" x14ac:dyDescent="0.25">
      <c r="M96" s="26"/>
      <c r="N96" s="26"/>
    </row>
    <row r="97" spans="13:14" x14ac:dyDescent="0.25">
      <c r="M97" s="26"/>
      <c r="N97" s="26"/>
    </row>
    <row r="98" spans="13:14" x14ac:dyDescent="0.25">
      <c r="M98" s="26"/>
      <c r="N98" s="26"/>
    </row>
    <row r="99" spans="13:14" x14ac:dyDescent="0.25">
      <c r="M99" s="26"/>
      <c r="N99" s="26"/>
    </row>
    <row r="100" spans="13:14" x14ac:dyDescent="0.25">
      <c r="M100" s="26"/>
      <c r="N100" s="26"/>
    </row>
    <row r="101" spans="13:14" x14ac:dyDescent="0.25">
      <c r="M101" s="26"/>
      <c r="N101" s="26"/>
    </row>
  </sheetData>
  <autoFilter ref="A2:O20" xr:uid="{278E87BB-8D16-4B1E-AAF0-49890808CA53}"/>
  <sortState xmlns:xlrd2="http://schemas.microsoft.com/office/spreadsheetml/2017/richdata2" ref="A3:P11">
    <sortCondition ref="E3:E11" customList="Weekday,Wk,Saturday,Sat,Sunday,Sun,Sunday/Holiday,Sunday / Holiday,Reduced"/>
    <sortCondition ref="B3:B11"/>
  </sortState>
  <mergeCells count="3">
    <mergeCell ref="A1:O1"/>
    <mergeCell ref="E22:K22"/>
    <mergeCell ref="E28:K28"/>
  </mergeCells>
  <conditionalFormatting sqref="L3:L11 L15:L21">
    <cfRule type="cellIs" dxfId="44" priority="6" operator="between">
      <formula>1.35</formula>
      <formula>1.6</formula>
    </cfRule>
    <cfRule type="cellIs" dxfId="43" priority="7" operator="between">
      <formula>1.2</formula>
      <formula>1.35</formula>
    </cfRule>
    <cfRule type="cellIs" dxfId="42" priority="8" operator="greaterThan">
      <formula>1.6</formula>
    </cfRule>
  </conditionalFormatting>
  <conditionalFormatting sqref="N3:N11 N15:N20">
    <cfRule type="cellIs" dxfId="41" priority="9" operator="lessThan">
      <formula>0.4</formula>
    </cfRule>
    <cfRule type="cellIs" dxfId="40" priority="10" operator="between">
      <formula>0.65</formula>
      <formula>0.4</formula>
    </cfRule>
    <cfRule type="cellIs" dxfId="39" priority="11" operator="between">
      <formula>0.8</formula>
      <formula>0.65</formula>
    </cfRule>
  </conditionalFormatting>
  <conditionalFormatting sqref="O3:O11 O15:O20">
    <cfRule type="cellIs" dxfId="38" priority="32" operator="lessThan">
      <formula>$G$27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5A104-476E-4AB4-9F61-7DEA9C03266E}">
  <dimension ref="A1:R99"/>
  <sheetViews>
    <sheetView workbookViewId="0">
      <selection activeCell="A15" sqref="A15"/>
    </sheetView>
  </sheetViews>
  <sheetFormatPr defaultRowHeight="15" x14ac:dyDescent="0.25"/>
  <cols>
    <col min="1" max="1" width="24.85546875" customWidth="1"/>
    <col min="2" max="2" width="9.42578125" customWidth="1"/>
    <col min="3" max="3" width="11.85546875" customWidth="1"/>
    <col min="4" max="4" width="20.7109375" customWidth="1"/>
    <col min="5" max="5" width="10.7109375" customWidth="1"/>
    <col min="6" max="6" width="16" customWidth="1"/>
    <col min="7" max="7" width="14.28515625" customWidth="1"/>
    <col min="8" max="8" width="11.5703125" customWidth="1"/>
    <col min="9" max="9" width="15.7109375" customWidth="1"/>
    <col min="10" max="10" width="12.85546875" customWidth="1"/>
    <col min="11" max="11" width="11.7109375" customWidth="1"/>
    <col min="12" max="14" width="14.140625" customWidth="1"/>
    <col min="15" max="15" width="12.5703125" customWidth="1"/>
    <col min="16" max="16" width="50.5703125" customWidth="1"/>
    <col min="17" max="17" width="14.7109375" bestFit="1" customWidth="1"/>
    <col min="18" max="18" width="13.7109375" bestFit="1" customWidth="1"/>
  </cols>
  <sheetData>
    <row r="1" spans="1:18" ht="37.5" thickBot="1" x14ac:dyDescent="0.75">
      <c r="A1" s="137" t="s">
        <v>82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7"/>
    </row>
    <row r="2" spans="1:18" s="4" customFormat="1" ht="60.75" thickBot="1" x14ac:dyDescent="0.3">
      <c r="A2" s="152" t="s">
        <v>7</v>
      </c>
      <c r="B2" s="153" t="s">
        <v>49</v>
      </c>
      <c r="C2" s="154" t="s">
        <v>50</v>
      </c>
      <c r="D2" s="154" t="s">
        <v>0</v>
      </c>
      <c r="E2" s="155" t="s">
        <v>1</v>
      </c>
      <c r="F2" s="155" t="s">
        <v>2</v>
      </c>
      <c r="G2" s="155" t="s">
        <v>27</v>
      </c>
      <c r="H2" s="156" t="s">
        <v>29</v>
      </c>
      <c r="I2" s="156" t="s">
        <v>42</v>
      </c>
      <c r="J2" s="157" t="s">
        <v>28</v>
      </c>
      <c r="K2" s="158" t="s">
        <v>11</v>
      </c>
      <c r="L2" s="158" t="s">
        <v>48</v>
      </c>
      <c r="M2" s="159" t="s">
        <v>69</v>
      </c>
      <c r="N2" s="158" t="s">
        <v>71</v>
      </c>
      <c r="O2" s="160" t="s">
        <v>31</v>
      </c>
      <c r="P2" s="152" t="s">
        <v>32</v>
      </c>
    </row>
    <row r="3" spans="1:18" x14ac:dyDescent="0.25">
      <c r="A3" s="161" t="s">
        <v>77</v>
      </c>
      <c r="B3" s="250">
        <v>903</v>
      </c>
      <c r="C3" s="250" t="s">
        <v>52</v>
      </c>
      <c r="D3" s="250" t="s">
        <v>66</v>
      </c>
      <c r="E3" s="250" t="s">
        <v>43</v>
      </c>
      <c r="F3" s="251">
        <v>374151.58032377157</v>
      </c>
      <c r="G3" s="251">
        <v>8525.3291274000003</v>
      </c>
      <c r="H3" s="294">
        <v>24013</v>
      </c>
      <c r="I3" s="254">
        <v>1253.2800000000002</v>
      </c>
      <c r="J3" s="255">
        <f>F3-G3</f>
        <v>365626.25119637157</v>
      </c>
      <c r="K3" s="416">
        <f>J3/H3</f>
        <v>15.226179619221737</v>
      </c>
      <c r="L3" s="166">
        <f t="shared" ref="L3:L8" si="0">+IF(E3="Weekdays",K3/$G$16,IF(E3="Saturdays",K3/$G$17,IF(E3="Sundays",K3/$G$18, "NA")))</f>
        <v>0.72757361105541096</v>
      </c>
      <c r="M3" s="166">
        <f>(G3/F3)</f>
        <v>2.2785762711526217E-2</v>
      </c>
      <c r="N3" s="166">
        <f t="shared" ref="N3:N8" si="1">+IF(E3="Weekdays",M3/$G$22,IF(E3="Saturdays",M3/$G$23,IF(E3="Sundays",M3/$G$24,"NA")))</f>
        <v>1.3347531239862107</v>
      </c>
      <c r="O3" s="417">
        <f>H3/I3</f>
        <v>19.160123835056808</v>
      </c>
      <c r="P3" s="257"/>
    </row>
    <row r="4" spans="1:18" ht="18" customHeight="1" x14ac:dyDescent="0.25">
      <c r="A4" s="170" t="s">
        <v>77</v>
      </c>
      <c r="B4" s="200">
        <v>903</v>
      </c>
      <c r="C4" s="200" t="s">
        <v>52</v>
      </c>
      <c r="D4" s="200" t="s">
        <v>66</v>
      </c>
      <c r="E4" s="200" t="s">
        <v>44</v>
      </c>
      <c r="F4" s="202">
        <v>410434.23548329499</v>
      </c>
      <c r="G4" s="202">
        <v>7667.5095076999996</v>
      </c>
      <c r="H4" s="301">
        <v>21714</v>
      </c>
      <c r="I4" s="260">
        <v>1354.95</v>
      </c>
      <c r="J4" s="261">
        <f t="shared" ref="J4:J8" si="2">F4-G4</f>
        <v>402766.72597559501</v>
      </c>
      <c r="K4" s="418">
        <f t="shared" ref="K4:K8" si="3">J4/H4</f>
        <v>18.548711705609055</v>
      </c>
      <c r="L4" s="176">
        <f t="shared" si="0"/>
        <v>0.76609779447498649</v>
      </c>
      <c r="M4" s="176">
        <f t="shared" ref="M4:M8" si="4">(G4/F4)</f>
        <v>1.8681456966355023E-2</v>
      </c>
      <c r="N4" s="176">
        <f t="shared" si="1"/>
        <v>1.3482417009738206</v>
      </c>
      <c r="O4" s="419">
        <f t="shared" ref="O4:O8" si="5">H4/I4</f>
        <v>16.025683604561053</v>
      </c>
      <c r="P4" s="263"/>
    </row>
    <row r="5" spans="1:18" ht="18" customHeight="1" x14ac:dyDescent="0.25">
      <c r="A5" s="170" t="s">
        <v>77</v>
      </c>
      <c r="B5" s="200">
        <v>903</v>
      </c>
      <c r="C5" s="200" t="s">
        <v>52</v>
      </c>
      <c r="D5" s="200" t="s">
        <v>66</v>
      </c>
      <c r="E5" s="200" t="s">
        <v>23</v>
      </c>
      <c r="F5" s="202">
        <v>1912769.5486858799</v>
      </c>
      <c r="G5" s="202">
        <v>43915.203661</v>
      </c>
      <c r="H5" s="301">
        <v>124450</v>
      </c>
      <c r="I5" s="260">
        <v>6944.5000000000009</v>
      </c>
      <c r="J5" s="261">
        <f t="shared" si="2"/>
        <v>1868854.34502488</v>
      </c>
      <c r="K5" s="418">
        <f t="shared" si="3"/>
        <v>15.016909160505262</v>
      </c>
      <c r="L5" s="176">
        <f t="shared" si="0"/>
        <v>0.87737527298538243</v>
      </c>
      <c r="M5" s="176">
        <f t="shared" si="4"/>
        <v>2.2958962145320033E-2</v>
      </c>
      <c r="N5" s="176">
        <f t="shared" si="1"/>
        <v>0.9499214318755399</v>
      </c>
      <c r="O5" s="419">
        <f t="shared" si="5"/>
        <v>17.920656634746919</v>
      </c>
      <c r="P5" s="263"/>
    </row>
    <row r="6" spans="1:18" ht="18" customHeight="1" x14ac:dyDescent="0.25">
      <c r="A6" s="170" t="s">
        <v>77</v>
      </c>
      <c r="B6" s="200">
        <v>904</v>
      </c>
      <c r="C6" s="200" t="s">
        <v>51</v>
      </c>
      <c r="D6" s="200" t="s">
        <v>66</v>
      </c>
      <c r="E6" s="200" t="s">
        <v>43</v>
      </c>
      <c r="F6" s="202">
        <v>1761643.0830000001</v>
      </c>
      <c r="G6" s="202">
        <v>20006.144029999999</v>
      </c>
      <c r="H6" s="301">
        <v>65405</v>
      </c>
      <c r="I6" s="260">
        <v>4725.76</v>
      </c>
      <c r="J6" s="261">
        <f t="shared" si="2"/>
        <v>1741636.93897</v>
      </c>
      <c r="K6" s="418">
        <f t="shared" si="3"/>
        <v>26.628498417093496</v>
      </c>
      <c r="L6" s="176">
        <f t="shared" si="0"/>
        <v>1.2724263889445888</v>
      </c>
      <c r="M6" s="176">
        <f t="shared" si="4"/>
        <v>1.1356525179851086E-2</v>
      </c>
      <c r="N6" s="176">
        <f t="shared" si="1"/>
        <v>0.66524687601378918</v>
      </c>
      <c r="O6" s="419">
        <f t="shared" si="5"/>
        <v>13.840101909534127</v>
      </c>
      <c r="P6" s="263"/>
    </row>
    <row r="7" spans="1:18" ht="18" customHeight="1" x14ac:dyDescent="0.25">
      <c r="A7" s="170" t="s">
        <v>77</v>
      </c>
      <c r="B7" s="200">
        <v>904</v>
      </c>
      <c r="C7" s="200" t="s">
        <v>51</v>
      </c>
      <c r="D7" s="200" t="s">
        <v>66</v>
      </c>
      <c r="E7" s="200" t="s">
        <v>44</v>
      </c>
      <c r="F7" s="202">
        <v>1984212.7520000001</v>
      </c>
      <c r="G7" s="202">
        <v>17919.166069999999</v>
      </c>
      <c r="H7" s="301">
        <v>65817</v>
      </c>
      <c r="I7" s="260">
        <v>5271.04</v>
      </c>
      <c r="J7" s="261">
        <f t="shared" si="2"/>
        <v>1966293.5859300001</v>
      </c>
      <c r="K7" s="418">
        <f t="shared" si="3"/>
        <v>29.875162738046402</v>
      </c>
      <c r="L7" s="176">
        <f t="shared" si="0"/>
        <v>1.2339022055250135</v>
      </c>
      <c r="M7" s="176">
        <f t="shared" si="4"/>
        <v>9.0308693218195783E-3</v>
      </c>
      <c r="N7" s="176">
        <f t="shared" si="1"/>
        <v>0.65175829902617954</v>
      </c>
      <c r="O7" s="419">
        <f t="shared" si="5"/>
        <v>12.486530172413794</v>
      </c>
      <c r="P7" s="263"/>
    </row>
    <row r="8" spans="1:18" x14ac:dyDescent="0.25">
      <c r="A8" s="170" t="s">
        <v>77</v>
      </c>
      <c r="B8" s="200">
        <v>904</v>
      </c>
      <c r="C8" s="200" t="s">
        <v>51</v>
      </c>
      <c r="D8" s="200" t="s">
        <v>66</v>
      </c>
      <c r="E8" s="200" t="s">
        <v>23</v>
      </c>
      <c r="F8" s="202">
        <v>10302645.52</v>
      </c>
      <c r="G8" s="202">
        <v>261477.978</v>
      </c>
      <c r="H8" s="301">
        <v>522582</v>
      </c>
      <c r="I8" s="260">
        <v>27994.050000000101</v>
      </c>
      <c r="J8" s="261">
        <f t="shared" si="2"/>
        <v>10041167.541999999</v>
      </c>
      <c r="K8" s="418">
        <f t="shared" si="3"/>
        <v>19.21453004887271</v>
      </c>
      <c r="L8" s="176">
        <f t="shared" si="0"/>
        <v>1.1226247270146175</v>
      </c>
      <c r="M8" s="176">
        <f t="shared" si="4"/>
        <v>2.5379692768464777E-2</v>
      </c>
      <c r="N8" s="176">
        <f t="shared" si="1"/>
        <v>1.0500785681244602</v>
      </c>
      <c r="O8" s="419">
        <f t="shared" si="5"/>
        <v>18.667609724209186</v>
      </c>
      <c r="P8" s="263"/>
    </row>
    <row r="9" spans="1:18" ht="24.75" thickBot="1" x14ac:dyDescent="0.45">
      <c r="A9" s="423" t="s">
        <v>141</v>
      </c>
      <c r="B9" s="423"/>
      <c r="C9" s="423"/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</row>
    <row r="10" spans="1:18" ht="15.75" thickBot="1" x14ac:dyDescent="0.3">
      <c r="A10" s="228" t="s">
        <v>130</v>
      </c>
      <c r="B10" s="229"/>
      <c r="C10" s="229"/>
      <c r="D10" s="307"/>
      <c r="E10" s="303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308"/>
    </row>
    <row r="11" spans="1:18" ht="24.75" thickBot="1" x14ac:dyDescent="0.45">
      <c r="A11" s="423" t="s">
        <v>144</v>
      </c>
      <c r="B11" s="423"/>
      <c r="C11" s="423"/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</row>
    <row r="12" spans="1:18" ht="15.75" thickBot="1" x14ac:dyDescent="0.3">
      <c r="A12" s="228" t="s">
        <v>130</v>
      </c>
      <c r="B12" s="229"/>
      <c r="C12" s="229"/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308"/>
    </row>
    <row r="13" spans="1:18" x14ac:dyDescent="0.25">
      <c r="A13" s="200"/>
      <c r="B13" s="271"/>
      <c r="C13" s="200"/>
      <c r="D13" s="200"/>
      <c r="E13" s="271"/>
      <c r="F13" s="201"/>
      <c r="G13" s="201"/>
      <c r="H13" s="201"/>
      <c r="I13" s="201"/>
      <c r="J13" s="201"/>
      <c r="K13" s="202"/>
      <c r="L13" s="204"/>
      <c r="M13" s="204"/>
      <c r="N13" s="204"/>
      <c r="O13" s="200"/>
      <c r="P13" s="200"/>
    </row>
    <row r="14" spans="1:18" ht="15.75" thickBot="1" x14ac:dyDescent="0.3">
      <c r="A14" s="200"/>
      <c r="B14" s="200"/>
      <c r="C14" s="200"/>
      <c r="D14" s="200"/>
      <c r="E14" s="303" t="s">
        <v>70</v>
      </c>
      <c r="F14" s="303"/>
      <c r="G14" s="303"/>
      <c r="H14" s="303"/>
      <c r="I14" s="303"/>
      <c r="J14" s="303"/>
      <c r="K14" s="303"/>
      <c r="L14" s="200"/>
      <c r="M14" s="204"/>
      <c r="N14" s="204"/>
      <c r="O14" s="200"/>
      <c r="P14" s="200"/>
      <c r="R14" s="1"/>
    </row>
    <row r="15" spans="1:18" ht="36" x14ac:dyDescent="0.25">
      <c r="A15" s="200"/>
      <c r="B15" s="200"/>
      <c r="C15" s="200"/>
      <c r="D15" s="200"/>
      <c r="E15" s="206" t="s">
        <v>41</v>
      </c>
      <c r="F15" s="272" t="s">
        <v>33</v>
      </c>
      <c r="G15" s="273" t="s">
        <v>34</v>
      </c>
      <c r="H15" s="273" t="s">
        <v>35</v>
      </c>
      <c r="I15" s="273" t="s">
        <v>36</v>
      </c>
      <c r="J15" s="274" t="s">
        <v>37</v>
      </c>
      <c r="K15" s="209" t="s">
        <v>40</v>
      </c>
      <c r="L15" s="200"/>
      <c r="M15" s="204"/>
      <c r="N15" s="204"/>
      <c r="O15" s="200"/>
      <c r="P15" s="200"/>
    </row>
    <row r="16" spans="1:18" x14ac:dyDescent="0.25">
      <c r="A16" s="200"/>
      <c r="B16" s="200"/>
      <c r="C16" s="200"/>
      <c r="D16" s="200"/>
      <c r="E16" s="210">
        <f>COUNTIF($E$3:$E$8, "Weekdays")</f>
        <v>2</v>
      </c>
      <c r="F16" s="275" t="s">
        <v>23</v>
      </c>
      <c r="G16" s="276">
        <f>AVERAGEIF($E$3:$E$8,"Weekdays",K3:K8)</f>
        <v>17.115719604688987</v>
      </c>
      <c r="H16" s="277">
        <f>G16*1.2</f>
        <v>20.538863525626784</v>
      </c>
      <c r="I16" s="278">
        <f>G16*1.35</f>
        <v>23.106221466330133</v>
      </c>
      <c r="J16" s="279">
        <f>G16*1.6</f>
        <v>27.385151367502381</v>
      </c>
      <c r="K16" s="216">
        <f>+SUMIF($E$3:$E$8,"Weekdays",$J$3:$J$8)/SUMIF($E$3:$E$8,"Weekdays",$H$3:$H$8)</f>
        <v>18.407160522238282</v>
      </c>
      <c r="L16" s="200"/>
      <c r="M16" s="204"/>
      <c r="N16" s="204"/>
      <c r="O16" s="200"/>
      <c r="P16" s="200"/>
    </row>
    <row r="17" spans="1:16" x14ac:dyDescent="0.25">
      <c r="A17" s="200"/>
      <c r="B17" s="200"/>
      <c r="C17" s="200"/>
      <c r="D17" s="200"/>
      <c r="E17" s="210">
        <f>COUNTIF($E$3:$E$8, "Saturdays")</f>
        <v>2</v>
      </c>
      <c r="F17" s="275" t="s">
        <v>43</v>
      </c>
      <c r="G17" s="276">
        <f>AVERAGEIF($E$3:$E$8,"Saturdays",K3:K8)</f>
        <v>20.927339018157618</v>
      </c>
      <c r="H17" s="277">
        <f>G17*1.2</f>
        <v>25.112806821789139</v>
      </c>
      <c r="I17" s="278">
        <f>G17*1.35</f>
        <v>28.251907674512786</v>
      </c>
      <c r="J17" s="279">
        <f>G17*1.6</f>
        <v>33.483742429052192</v>
      </c>
      <c r="K17" s="216">
        <f>+SUMIF($E$3:$E$8,"saturdays",$J$3:$J$8)/SUMIF($E$3:$E$8,"saturdays",$H$3:$H$8)</f>
        <v>23.566431704649752</v>
      </c>
      <c r="L17" s="200"/>
      <c r="M17" s="204"/>
      <c r="N17" s="204"/>
      <c r="O17" s="200"/>
      <c r="P17" s="200"/>
    </row>
    <row r="18" spans="1:16" ht="15.75" thickBot="1" x14ac:dyDescent="0.3">
      <c r="A18" s="200"/>
      <c r="B18" s="200"/>
      <c r="C18" s="200"/>
      <c r="D18" s="200"/>
      <c r="E18" s="222">
        <f>COUNTIF($E$3:$E$8, "Sundays")</f>
        <v>2</v>
      </c>
      <c r="F18" s="275" t="s">
        <v>44</v>
      </c>
      <c r="G18" s="280">
        <f>AVERAGEIF($E$3:$E$8,"Sundays",K3:K8)</f>
        <v>24.211937221827728</v>
      </c>
      <c r="H18" s="277">
        <f>G18*1.2</f>
        <v>29.054324666193274</v>
      </c>
      <c r="I18" s="278">
        <f>G18*1.35</f>
        <v>32.686115249467434</v>
      </c>
      <c r="J18" s="279">
        <f>G18*1.6</f>
        <v>38.739099554924366</v>
      </c>
      <c r="K18" s="216">
        <f>+SUMIF($E$3:$E$8,"Sundays",$J$3:$J$8)/SUMIF($E$3:$E$8,"Sundays",$H$3:$H$8)</f>
        <v>27.065386113555139</v>
      </c>
      <c r="L18" s="200"/>
      <c r="M18" s="204"/>
      <c r="N18" s="204"/>
      <c r="O18" s="200"/>
      <c r="P18" s="200"/>
    </row>
    <row r="19" spans="1:16" ht="15.75" thickBot="1" x14ac:dyDescent="0.3">
      <c r="A19" s="200"/>
      <c r="B19" s="200"/>
      <c r="C19" s="200"/>
      <c r="D19" s="200"/>
      <c r="E19" s="200"/>
      <c r="F19" s="281" t="s">
        <v>39</v>
      </c>
      <c r="G19" s="229">
        <v>25</v>
      </c>
      <c r="H19" s="230"/>
      <c r="I19" s="230"/>
      <c r="J19" s="231"/>
      <c r="K19" s="232">
        <f>+SUM($J$3:$J$8)/SUM($H$3:$H$8)</f>
        <v>19.886800046477827</v>
      </c>
      <c r="L19" s="200"/>
      <c r="M19" s="204"/>
      <c r="N19" s="204"/>
      <c r="O19" s="200"/>
      <c r="P19" s="200"/>
    </row>
    <row r="20" spans="1:16" ht="15.75" thickBot="1" x14ac:dyDescent="0.3">
      <c r="A20" s="200"/>
      <c r="B20" s="200"/>
      <c r="C20" s="200"/>
      <c r="D20" s="200"/>
      <c r="E20" s="200" t="s">
        <v>69</v>
      </c>
      <c r="F20" s="200"/>
      <c r="G20" s="200"/>
      <c r="H20" s="200"/>
      <c r="I20" s="200"/>
      <c r="J20" s="200"/>
      <c r="K20" s="200"/>
      <c r="L20" s="200"/>
      <c r="M20" s="204"/>
      <c r="N20" s="204"/>
      <c r="O20" s="200"/>
      <c r="P20" s="200"/>
    </row>
    <row r="21" spans="1:16" ht="36" x14ac:dyDescent="0.25">
      <c r="A21" s="200"/>
      <c r="B21" s="200"/>
      <c r="C21" s="200"/>
      <c r="D21" s="200"/>
      <c r="E21" s="282"/>
      <c r="F21" s="206" t="s">
        <v>33</v>
      </c>
      <c r="G21" s="207" t="s">
        <v>34</v>
      </c>
      <c r="H21" s="207" t="s">
        <v>35</v>
      </c>
      <c r="I21" s="207" t="s">
        <v>36</v>
      </c>
      <c r="J21" s="208" t="s">
        <v>37</v>
      </c>
      <c r="K21" s="209" t="s">
        <v>123</v>
      </c>
      <c r="L21" s="200"/>
      <c r="M21" s="204"/>
      <c r="N21" s="204"/>
      <c r="O21" s="200"/>
      <c r="P21" s="200"/>
    </row>
    <row r="22" spans="1:16" x14ac:dyDescent="0.25">
      <c r="A22" s="200"/>
      <c r="B22" s="200"/>
      <c r="C22" s="200"/>
      <c r="D22" s="200"/>
      <c r="E22" s="283"/>
      <c r="F22" s="211" t="s">
        <v>23</v>
      </c>
      <c r="G22" s="233">
        <f>AVERAGEIF($E$3:$E$8,"Weekdays",$M$3:$M$8)</f>
        <v>2.4169327456892403E-2</v>
      </c>
      <c r="H22" s="234">
        <f>G22*0.8</f>
        <v>1.9335461965513924E-2</v>
      </c>
      <c r="I22" s="235">
        <f>G22*0.65</f>
        <v>1.5710062846980063E-2</v>
      </c>
      <c r="J22" s="236">
        <f>G22*0.4</f>
        <v>9.667730982756962E-3</v>
      </c>
      <c r="K22" s="237">
        <f>+SUMIF($E$3:$E$8,"Weekdays",$G$3:$G$8)/SUMIF($E$3:$E$8,"Weekdays",$F$3:$F$8)</f>
        <v>2.5000638942173404E-2</v>
      </c>
      <c r="L22" s="200"/>
      <c r="M22" s="204"/>
      <c r="N22" s="204"/>
      <c r="O22" s="200"/>
      <c r="P22" s="200"/>
    </row>
    <row r="23" spans="1:16" x14ac:dyDescent="0.25">
      <c r="A23" s="200"/>
      <c r="B23" s="200"/>
      <c r="C23" s="200"/>
      <c r="D23" s="200"/>
      <c r="E23" s="283"/>
      <c r="F23" s="217" t="s">
        <v>43</v>
      </c>
      <c r="G23" s="238">
        <f>AVERAGEIF($E$3:$E$8,"Saturdays",$M$3:$M$8)</f>
        <v>1.7071143945688653E-2</v>
      </c>
      <c r="H23" s="239">
        <f>G23*0.8</f>
        <v>1.3656915156550924E-2</v>
      </c>
      <c r="I23" s="240">
        <f>G23*0.65</f>
        <v>1.1096243564697624E-2</v>
      </c>
      <c r="J23" s="241">
        <f>G23*0.4</f>
        <v>6.8284575782754618E-3</v>
      </c>
      <c r="K23" s="237">
        <f>+SUMIF($E$3:$E$8,"Saturdays",$G$3:$G$8)/SUMIF($E$3:$E$8,"Saturdays",$F$3:$F$8)</f>
        <v>1.3358715445518849E-2</v>
      </c>
      <c r="L23" s="200"/>
      <c r="M23" s="204"/>
      <c r="N23" s="204"/>
      <c r="O23" s="200"/>
      <c r="P23" s="200"/>
    </row>
    <row r="24" spans="1:16" ht="15.75" thickBot="1" x14ac:dyDescent="0.3">
      <c r="A24" s="200"/>
      <c r="B24" s="200"/>
      <c r="C24" s="200"/>
      <c r="D24" s="200"/>
      <c r="E24" s="283"/>
      <c r="F24" s="243" t="s">
        <v>44</v>
      </c>
      <c r="G24" s="446">
        <f>AVERAGEIF($E$3:$E$8,"Sundays",$M$3:$M$8)</f>
        <v>1.3856163144087301E-2</v>
      </c>
      <c r="H24" s="245">
        <f>G24*0.8</f>
        <v>1.108493051526984E-2</v>
      </c>
      <c r="I24" s="246">
        <f>G24*0.65</f>
        <v>9.0065060436567458E-3</v>
      </c>
      <c r="J24" s="247">
        <f>G24*0.4</f>
        <v>5.5424652576349202E-3</v>
      </c>
      <c r="K24" s="248">
        <f>+SUMIF($E$3:$E$8,"Sundays",$G$3:$G$8)/SUMIF($E$3:$E$8,"Sundays",$F$3:$F$8)</f>
        <v>1.0684946763109687E-2</v>
      </c>
      <c r="L24" s="200"/>
      <c r="M24" s="204"/>
      <c r="N24" s="204"/>
      <c r="O24" s="200"/>
      <c r="P24" s="200"/>
    </row>
    <row r="25" spans="1:16" x14ac:dyDescent="0.25">
      <c r="H25" s="62"/>
      <c r="M25" s="26"/>
      <c r="N25" s="26"/>
    </row>
    <row r="26" spans="1:16" x14ac:dyDescent="0.25">
      <c r="M26" s="26"/>
      <c r="N26" s="26"/>
    </row>
    <row r="27" spans="1:16" x14ac:dyDescent="0.25">
      <c r="M27" s="26"/>
      <c r="N27" s="26"/>
    </row>
    <row r="28" spans="1:16" x14ac:dyDescent="0.25">
      <c r="M28" s="26"/>
      <c r="N28" s="26"/>
    </row>
    <row r="29" spans="1:16" x14ac:dyDescent="0.25">
      <c r="M29" s="26"/>
      <c r="N29" s="26"/>
    </row>
    <row r="30" spans="1:16" x14ac:dyDescent="0.25">
      <c r="M30" s="26"/>
      <c r="N30" s="26"/>
    </row>
    <row r="31" spans="1:16" x14ac:dyDescent="0.25">
      <c r="M31" s="26"/>
      <c r="N31" s="26"/>
    </row>
    <row r="32" spans="1:16" x14ac:dyDescent="0.25">
      <c r="M32" s="26"/>
      <c r="N32" s="26"/>
    </row>
    <row r="33" spans="13:14" x14ac:dyDescent="0.25">
      <c r="M33" s="26"/>
      <c r="N33" s="26"/>
    </row>
    <row r="34" spans="13:14" x14ac:dyDescent="0.25">
      <c r="M34" s="26"/>
      <c r="N34" s="26"/>
    </row>
    <row r="35" spans="13:14" x14ac:dyDescent="0.25">
      <c r="M35" s="26"/>
      <c r="N35" s="26"/>
    </row>
    <row r="36" spans="13:14" x14ac:dyDescent="0.25">
      <c r="M36" s="26"/>
      <c r="N36" s="26"/>
    </row>
    <row r="37" spans="13:14" x14ac:dyDescent="0.25">
      <c r="M37" s="26"/>
      <c r="N37" s="26"/>
    </row>
    <row r="38" spans="13:14" x14ac:dyDescent="0.25">
      <c r="M38" s="26"/>
      <c r="N38" s="26"/>
    </row>
    <row r="39" spans="13:14" x14ac:dyDescent="0.25">
      <c r="M39" s="26"/>
      <c r="N39" s="26"/>
    </row>
    <row r="40" spans="13:14" x14ac:dyDescent="0.25">
      <c r="M40" s="26"/>
      <c r="N40" s="26"/>
    </row>
    <row r="41" spans="13:14" x14ac:dyDescent="0.25">
      <c r="M41" s="26"/>
      <c r="N41" s="26"/>
    </row>
    <row r="42" spans="13:14" x14ac:dyDescent="0.25">
      <c r="M42" s="26"/>
      <c r="N42" s="26"/>
    </row>
    <row r="43" spans="13:14" x14ac:dyDescent="0.25">
      <c r="M43" s="26"/>
      <c r="N43" s="26"/>
    </row>
    <row r="44" spans="13:14" x14ac:dyDescent="0.25">
      <c r="M44" s="26"/>
      <c r="N44" s="26"/>
    </row>
    <row r="45" spans="13:14" x14ac:dyDescent="0.25">
      <c r="M45" s="26"/>
      <c r="N45" s="26"/>
    </row>
    <row r="46" spans="13:14" x14ac:dyDescent="0.25">
      <c r="M46" s="26"/>
      <c r="N46" s="26"/>
    </row>
    <row r="47" spans="13:14" x14ac:dyDescent="0.25">
      <c r="M47" s="26"/>
      <c r="N47" s="26"/>
    </row>
    <row r="48" spans="13:14" x14ac:dyDescent="0.25">
      <c r="M48" s="26"/>
      <c r="N48" s="26"/>
    </row>
    <row r="49" spans="13:14" x14ac:dyDescent="0.25">
      <c r="M49" s="26"/>
      <c r="N49" s="26"/>
    </row>
    <row r="50" spans="13:14" x14ac:dyDescent="0.25">
      <c r="M50" s="26"/>
      <c r="N50" s="26"/>
    </row>
    <row r="51" spans="13:14" x14ac:dyDescent="0.25">
      <c r="M51" s="26"/>
      <c r="N51" s="26"/>
    </row>
    <row r="52" spans="13:14" x14ac:dyDescent="0.25">
      <c r="M52" s="26"/>
      <c r="N52" s="26"/>
    </row>
    <row r="53" spans="13:14" x14ac:dyDescent="0.25">
      <c r="M53" s="26"/>
      <c r="N53" s="26"/>
    </row>
    <row r="54" spans="13:14" x14ac:dyDescent="0.25">
      <c r="M54" s="26"/>
      <c r="N54" s="26"/>
    </row>
    <row r="55" spans="13:14" x14ac:dyDescent="0.25">
      <c r="M55" s="26"/>
      <c r="N55" s="26"/>
    </row>
    <row r="56" spans="13:14" x14ac:dyDescent="0.25">
      <c r="M56" s="26"/>
      <c r="N56" s="26"/>
    </row>
    <row r="57" spans="13:14" x14ac:dyDescent="0.25">
      <c r="M57" s="26"/>
      <c r="N57" s="26"/>
    </row>
    <row r="58" spans="13:14" x14ac:dyDescent="0.25">
      <c r="M58" s="26"/>
      <c r="N58" s="26"/>
    </row>
    <row r="59" spans="13:14" x14ac:dyDescent="0.25">
      <c r="M59" s="26"/>
      <c r="N59" s="26"/>
    </row>
    <row r="60" spans="13:14" x14ac:dyDescent="0.25">
      <c r="M60" s="26"/>
      <c r="N60" s="26"/>
    </row>
    <row r="61" spans="13:14" x14ac:dyDescent="0.25">
      <c r="M61" s="26"/>
      <c r="N61" s="26"/>
    </row>
    <row r="62" spans="13:14" x14ac:dyDescent="0.25">
      <c r="M62" s="26"/>
      <c r="N62" s="26"/>
    </row>
    <row r="63" spans="13:14" x14ac:dyDescent="0.25">
      <c r="M63" s="26"/>
      <c r="N63" s="26"/>
    </row>
    <row r="64" spans="13:14" x14ac:dyDescent="0.25">
      <c r="M64" s="26"/>
      <c r="N64" s="26"/>
    </row>
    <row r="65" spans="13:14" x14ac:dyDescent="0.25">
      <c r="M65" s="26"/>
      <c r="N65" s="26"/>
    </row>
    <row r="66" spans="13:14" x14ac:dyDescent="0.25">
      <c r="M66" s="26"/>
      <c r="N66" s="26"/>
    </row>
    <row r="67" spans="13:14" x14ac:dyDescent="0.25">
      <c r="M67" s="26"/>
      <c r="N67" s="26"/>
    </row>
    <row r="68" spans="13:14" x14ac:dyDescent="0.25">
      <c r="M68" s="26"/>
      <c r="N68" s="26"/>
    </row>
    <row r="69" spans="13:14" x14ac:dyDescent="0.25">
      <c r="M69" s="26"/>
      <c r="N69" s="26"/>
    </row>
    <row r="70" spans="13:14" x14ac:dyDescent="0.25">
      <c r="M70" s="26"/>
      <c r="N70" s="26"/>
    </row>
    <row r="71" spans="13:14" x14ac:dyDescent="0.25">
      <c r="M71" s="26"/>
      <c r="N71" s="26"/>
    </row>
    <row r="72" spans="13:14" x14ac:dyDescent="0.25">
      <c r="M72" s="26"/>
      <c r="N72" s="26"/>
    </row>
    <row r="73" spans="13:14" x14ac:dyDescent="0.25">
      <c r="M73" s="26"/>
      <c r="N73" s="26"/>
    </row>
    <row r="74" spans="13:14" x14ac:dyDescent="0.25">
      <c r="M74" s="26"/>
      <c r="N74" s="26"/>
    </row>
    <row r="75" spans="13:14" x14ac:dyDescent="0.25">
      <c r="M75" s="26"/>
      <c r="N75" s="26"/>
    </row>
    <row r="76" spans="13:14" x14ac:dyDescent="0.25">
      <c r="M76" s="26"/>
      <c r="N76" s="26"/>
    </row>
    <row r="77" spans="13:14" x14ac:dyDescent="0.25">
      <c r="M77" s="26"/>
      <c r="N77" s="26"/>
    </row>
    <row r="78" spans="13:14" x14ac:dyDescent="0.25">
      <c r="M78" s="26"/>
      <c r="N78" s="26"/>
    </row>
    <row r="79" spans="13:14" x14ac:dyDescent="0.25">
      <c r="M79" s="26"/>
      <c r="N79" s="26"/>
    </row>
    <row r="80" spans="13:14" x14ac:dyDescent="0.25">
      <c r="M80" s="26"/>
      <c r="N80" s="26"/>
    </row>
    <row r="81" spans="13:14" x14ac:dyDescent="0.25">
      <c r="M81" s="26"/>
      <c r="N81" s="26"/>
    </row>
    <row r="82" spans="13:14" x14ac:dyDescent="0.25">
      <c r="M82" s="26"/>
      <c r="N82" s="26"/>
    </row>
    <row r="83" spans="13:14" x14ac:dyDescent="0.25">
      <c r="M83" s="26"/>
      <c r="N83" s="26"/>
    </row>
    <row r="84" spans="13:14" x14ac:dyDescent="0.25">
      <c r="M84" s="26"/>
      <c r="N84" s="26"/>
    </row>
    <row r="85" spans="13:14" x14ac:dyDescent="0.25">
      <c r="M85" s="26"/>
      <c r="N85" s="26"/>
    </row>
    <row r="86" spans="13:14" x14ac:dyDescent="0.25">
      <c r="M86" s="26"/>
      <c r="N86" s="26"/>
    </row>
    <row r="87" spans="13:14" x14ac:dyDescent="0.25">
      <c r="M87" s="26"/>
      <c r="N87" s="26"/>
    </row>
    <row r="88" spans="13:14" x14ac:dyDescent="0.25">
      <c r="M88" s="26"/>
      <c r="N88" s="26"/>
    </row>
    <row r="89" spans="13:14" x14ac:dyDescent="0.25">
      <c r="M89" s="26"/>
      <c r="N89" s="26"/>
    </row>
    <row r="90" spans="13:14" x14ac:dyDescent="0.25">
      <c r="M90" s="26"/>
      <c r="N90" s="26"/>
    </row>
    <row r="91" spans="13:14" x14ac:dyDescent="0.25">
      <c r="M91" s="26"/>
      <c r="N91" s="26"/>
    </row>
    <row r="92" spans="13:14" x14ac:dyDescent="0.25">
      <c r="M92" s="26"/>
      <c r="N92" s="26"/>
    </row>
    <row r="93" spans="13:14" x14ac:dyDescent="0.25">
      <c r="M93" s="26"/>
      <c r="N93" s="26"/>
    </row>
    <row r="94" spans="13:14" x14ac:dyDescent="0.25">
      <c r="M94" s="26"/>
      <c r="N94" s="26"/>
    </row>
    <row r="95" spans="13:14" x14ac:dyDescent="0.25">
      <c r="M95" s="26"/>
      <c r="N95" s="26"/>
    </row>
    <row r="96" spans="13:14" x14ac:dyDescent="0.25">
      <c r="M96" s="26"/>
      <c r="N96" s="26"/>
    </row>
    <row r="97" spans="13:14" x14ac:dyDescent="0.25">
      <c r="M97" s="26"/>
      <c r="N97" s="26"/>
    </row>
    <row r="98" spans="13:14" x14ac:dyDescent="0.25">
      <c r="M98" s="26"/>
      <c r="N98" s="26"/>
    </row>
    <row r="99" spans="13:14" x14ac:dyDescent="0.25">
      <c r="M99" s="26"/>
      <c r="N99" s="26"/>
    </row>
  </sheetData>
  <autoFilter ref="A2:P8" xr:uid="{B705A104-476E-4AB4-9F61-7DEA9C03266E}"/>
  <sortState xmlns:xlrd2="http://schemas.microsoft.com/office/spreadsheetml/2017/richdata2" ref="A3:P8">
    <sortCondition ref="E3:E8" customList="Weekday,Wk,Saturday,Sat,Sunday,Sun,Sunday/Holiday,Sunday / Holiday,Reduced"/>
    <sortCondition ref="B3:B8"/>
  </sortState>
  <conditionalFormatting sqref="L11">
    <cfRule type="cellIs" dxfId="37" priority="3" operator="between">
      <formula>1.35</formula>
      <formula>1.6</formula>
    </cfRule>
    <cfRule type="cellIs" dxfId="36" priority="4" operator="between">
      <formula>1.2</formula>
      <formula>1.35</formula>
    </cfRule>
    <cfRule type="cellIs" dxfId="35" priority="5" operator="greaterThan">
      <formula>1.6</formula>
    </cfRule>
  </conditionalFormatting>
  <conditionalFormatting sqref="N3:N8">
    <cfRule type="cellIs" dxfId="34" priority="6" operator="lessThan">
      <formula>0.4</formula>
    </cfRule>
    <cfRule type="cellIs" dxfId="33" priority="7" operator="between">
      <formula>0.65</formula>
      <formula>0.4</formula>
    </cfRule>
    <cfRule type="cellIs" dxfId="32" priority="8" operator="between">
      <formula>0.8</formula>
      <formula>0.65</formula>
    </cfRule>
  </conditionalFormatting>
  <conditionalFormatting sqref="O3:O8">
    <cfRule type="cellIs" dxfId="31" priority="34" operator="lessThan">
      <formula>$G$19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632D-8BD2-4262-A80D-0B23F56E7FF9}">
  <dimension ref="A1:R96"/>
  <sheetViews>
    <sheetView workbookViewId="0">
      <selection activeCell="D20" sqref="D20"/>
    </sheetView>
  </sheetViews>
  <sheetFormatPr defaultRowHeight="15" x14ac:dyDescent="0.25"/>
  <cols>
    <col min="1" max="1" width="24.85546875" customWidth="1"/>
    <col min="2" max="2" width="9.42578125" customWidth="1"/>
    <col min="3" max="3" width="11.85546875" customWidth="1"/>
    <col min="4" max="4" width="20.7109375" customWidth="1"/>
    <col min="5" max="5" width="10.7109375" customWidth="1"/>
    <col min="6" max="6" width="13.42578125" customWidth="1"/>
    <col min="7" max="7" width="13" customWidth="1"/>
    <col min="8" max="8" width="11.5703125" customWidth="1"/>
    <col min="9" max="9" width="15.7109375" customWidth="1"/>
    <col min="10" max="10" width="12.85546875" customWidth="1"/>
    <col min="11" max="11" width="11.7109375" customWidth="1"/>
    <col min="12" max="14" width="14.140625" customWidth="1"/>
    <col min="15" max="15" width="12.5703125" customWidth="1"/>
    <col min="16" max="16" width="50.5703125" customWidth="1"/>
    <col min="17" max="17" width="14.7109375" bestFit="1" customWidth="1"/>
    <col min="18" max="18" width="13.7109375" bestFit="1" customWidth="1"/>
  </cols>
  <sheetData>
    <row r="1" spans="1:18" ht="37.5" thickBot="1" x14ac:dyDescent="0.75">
      <c r="A1" s="137" t="s">
        <v>145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7"/>
    </row>
    <row r="2" spans="1:18" s="4" customFormat="1" ht="75.75" thickBot="1" x14ac:dyDescent="0.3">
      <c r="A2" s="61" t="s">
        <v>7</v>
      </c>
      <c r="B2" s="88" t="s">
        <v>49</v>
      </c>
      <c r="C2" s="89" t="s">
        <v>50</v>
      </c>
      <c r="D2" s="89" t="s">
        <v>0</v>
      </c>
      <c r="E2" s="90" t="s">
        <v>1</v>
      </c>
      <c r="F2" s="90" t="s">
        <v>2</v>
      </c>
      <c r="G2" s="90" t="s">
        <v>27</v>
      </c>
      <c r="H2" s="91" t="s">
        <v>29</v>
      </c>
      <c r="I2" s="91" t="s">
        <v>42</v>
      </c>
      <c r="J2" s="92" t="s">
        <v>28</v>
      </c>
      <c r="K2" s="93" t="s">
        <v>11</v>
      </c>
      <c r="L2" s="93" t="s">
        <v>48</v>
      </c>
      <c r="M2" s="94" t="s">
        <v>69</v>
      </c>
      <c r="N2" s="93" t="s">
        <v>71</v>
      </c>
      <c r="O2" s="95" t="s">
        <v>31</v>
      </c>
      <c r="P2" s="61" t="s">
        <v>32</v>
      </c>
    </row>
    <row r="3" spans="1:18" ht="15.75" thickBot="1" x14ac:dyDescent="0.3">
      <c r="A3" s="141" t="s">
        <v>130</v>
      </c>
      <c r="B3" s="142"/>
      <c r="C3" s="142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4"/>
    </row>
    <row r="4" spans="1:18" ht="27.75" thickBot="1" x14ac:dyDescent="0.55000000000000004">
      <c r="A4" s="434" t="s">
        <v>141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</row>
    <row r="5" spans="1:18" ht="15.75" thickBot="1" x14ac:dyDescent="0.3">
      <c r="A5" s="141" t="s">
        <v>130</v>
      </c>
      <c r="B5" s="142"/>
      <c r="C5" s="142"/>
      <c r="D5" s="143"/>
      <c r="E5" s="138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4"/>
    </row>
    <row r="6" spans="1:18" ht="27.75" thickBot="1" x14ac:dyDescent="0.55000000000000004">
      <c r="A6" s="434" t="s">
        <v>144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</row>
    <row r="7" spans="1:18" x14ac:dyDescent="0.25">
      <c r="A7" s="112" t="s">
        <v>77</v>
      </c>
      <c r="B7" s="145">
        <v>905</v>
      </c>
      <c r="C7" s="145" t="s">
        <v>92</v>
      </c>
      <c r="D7" s="145" t="s">
        <v>93</v>
      </c>
      <c r="E7" s="119" t="s">
        <v>43</v>
      </c>
      <c r="F7" s="146">
        <v>1190636.5109999999</v>
      </c>
      <c r="G7" s="146">
        <v>35716.779280000002</v>
      </c>
      <c r="H7" s="147">
        <v>44218</v>
      </c>
      <c r="I7" s="148">
        <v>3123.79</v>
      </c>
      <c r="J7" s="115">
        <f t="shared" ref="J7:J9" si="0">F7-G7</f>
        <v>1154919.73172</v>
      </c>
      <c r="K7" s="118">
        <f t="shared" ref="K7:K9" si="1">J7/H7</f>
        <v>26.118769092224888</v>
      </c>
      <c r="L7" s="119">
        <f>+IF(E7="Weekdays",K7/$G$13,IF(E7="Saturdays",K7/$G$14,IF(E7="Sundays",K7/$G$15, "NA")))</f>
        <v>1</v>
      </c>
      <c r="M7" s="119">
        <f t="shared" ref="M7:M9" si="2">(G7/F7)</f>
        <v>2.9998054779961307E-2</v>
      </c>
      <c r="N7" s="119">
        <f>+IF(E7="Weekdays",M7/$G$19,IF(E7="Saturdays",M7/$G$20,IF(E7="Sundays",M7/$G$21,"NA")))</f>
        <v>1</v>
      </c>
      <c r="O7" s="120">
        <f t="shared" ref="O7:O9" si="3">H7/I7</f>
        <v>14.155240909280073</v>
      </c>
      <c r="P7" s="54" t="s">
        <v>122</v>
      </c>
    </row>
    <row r="8" spans="1:18" ht="15" customHeight="1" x14ac:dyDescent="0.25">
      <c r="A8" s="101" t="s">
        <v>77</v>
      </c>
      <c r="B8" s="96">
        <v>905</v>
      </c>
      <c r="C8" s="96" t="s">
        <v>92</v>
      </c>
      <c r="D8" s="96" t="s">
        <v>93</v>
      </c>
      <c r="E8" s="96" t="s">
        <v>44</v>
      </c>
      <c r="F8" s="346">
        <v>1337107.425</v>
      </c>
      <c r="G8" s="346">
        <v>29142.817129999999</v>
      </c>
      <c r="H8" s="347">
        <v>39407</v>
      </c>
      <c r="I8" s="348">
        <v>3504.74</v>
      </c>
      <c r="J8" s="102">
        <f t="shared" si="0"/>
        <v>1307964.6078699999</v>
      </c>
      <c r="K8" s="121">
        <f t="shared" si="1"/>
        <v>33.191174356586394</v>
      </c>
      <c r="L8" s="99">
        <f>+IF(E8="Weekdays",K8/$G$13,IF(E8="Saturdays",K8/$G$14,IF(E8="Sundays",K8/$G$15, "NA")))</f>
        <v>1</v>
      </c>
      <c r="M8" s="99">
        <f t="shared" si="2"/>
        <v>2.1795419414412421E-2</v>
      </c>
      <c r="N8" s="99">
        <f>+IF(E8="Weekdays",M8/$G$19,IF(E8="Saturdays",M8/$G$20,IF(E8="Sundays",M8/$G$21,"NA")))</f>
        <v>1</v>
      </c>
      <c r="O8" s="122">
        <f t="shared" si="3"/>
        <v>11.243915383166797</v>
      </c>
      <c r="P8" s="44" t="s">
        <v>122</v>
      </c>
    </row>
    <row r="9" spans="1:18" ht="15.75" thickBot="1" x14ac:dyDescent="0.3">
      <c r="A9" s="106" t="s">
        <v>77</v>
      </c>
      <c r="B9" s="149">
        <v>905</v>
      </c>
      <c r="C9" s="149" t="s">
        <v>92</v>
      </c>
      <c r="D9" s="149" t="s">
        <v>93</v>
      </c>
      <c r="E9" s="124" t="s">
        <v>23</v>
      </c>
      <c r="F9" s="150">
        <v>7894212.0640000002</v>
      </c>
      <c r="G9" s="150">
        <v>216139.40359999999</v>
      </c>
      <c r="H9" s="151">
        <v>280166</v>
      </c>
      <c r="I9" s="151">
        <v>21663.38</v>
      </c>
      <c r="J9" s="109">
        <f t="shared" si="0"/>
        <v>7678072.6604000004</v>
      </c>
      <c r="K9" s="123">
        <f t="shared" si="1"/>
        <v>27.405440561667014</v>
      </c>
      <c r="L9" s="124">
        <f>+IF(E9="Weekdays",K9/$G$13,IF(E9="Saturdays",K9/$G$14,IF(E9="Sundays",K9/$G$15, "NA")))</f>
        <v>1</v>
      </c>
      <c r="M9" s="124">
        <f t="shared" si="2"/>
        <v>2.7379477755058189E-2</v>
      </c>
      <c r="N9" s="124">
        <f>+IF(E9="Weekdays",M9/$G$19,IF(E9="Saturdays",M9/$G$20,IF(E9="Sundays",M9/$G$21,"NA")))</f>
        <v>1</v>
      </c>
      <c r="O9" s="125">
        <f t="shared" si="3"/>
        <v>12.932700252684484</v>
      </c>
      <c r="P9" s="46" t="s">
        <v>122</v>
      </c>
    </row>
    <row r="10" spans="1:18" x14ac:dyDescent="0.25">
      <c r="A10" s="12"/>
      <c r="B10" s="13"/>
      <c r="D10" s="12"/>
      <c r="E10" s="13"/>
      <c r="F10" s="14"/>
      <c r="G10" s="14"/>
      <c r="H10" s="14"/>
      <c r="I10" s="14"/>
      <c r="J10" s="14"/>
      <c r="K10" s="15"/>
      <c r="L10" s="26"/>
      <c r="M10" s="26"/>
      <c r="N10" s="26"/>
      <c r="O10" s="12"/>
      <c r="P10" s="12"/>
    </row>
    <row r="11" spans="1:18" ht="15.75" thickBot="1" x14ac:dyDescent="0.3">
      <c r="A11" s="12"/>
      <c r="B11" s="12"/>
      <c r="C11" s="12"/>
      <c r="D11" s="12"/>
      <c r="E11" s="475" t="s">
        <v>70</v>
      </c>
      <c r="F11" s="475"/>
      <c r="G11" s="475"/>
      <c r="H11" s="475"/>
      <c r="I11" s="475"/>
      <c r="J11" s="475"/>
      <c r="K11" s="475"/>
      <c r="L11" s="12"/>
      <c r="M11" s="26"/>
      <c r="N11" s="26"/>
      <c r="O11" s="12"/>
      <c r="P11" s="12"/>
      <c r="R11" s="1"/>
    </row>
    <row r="12" spans="1:18" ht="36" x14ac:dyDescent="0.25">
      <c r="A12" s="12"/>
      <c r="B12" s="12"/>
      <c r="C12" s="12"/>
      <c r="D12" s="12"/>
      <c r="E12" s="27" t="s">
        <v>41</v>
      </c>
      <c r="F12" s="41" t="s">
        <v>33</v>
      </c>
      <c r="G12" s="42" t="s">
        <v>34</v>
      </c>
      <c r="H12" s="42" t="s">
        <v>35</v>
      </c>
      <c r="I12" s="42" t="s">
        <v>36</v>
      </c>
      <c r="J12" s="43" t="s">
        <v>37</v>
      </c>
      <c r="K12" s="30" t="s">
        <v>40</v>
      </c>
      <c r="L12" s="12"/>
      <c r="M12" s="26"/>
      <c r="N12" s="26"/>
      <c r="O12" s="12"/>
      <c r="P12" s="12"/>
    </row>
    <row r="13" spans="1:18" x14ac:dyDescent="0.25">
      <c r="A13" s="12"/>
      <c r="B13" s="12"/>
      <c r="C13" s="12"/>
      <c r="D13" s="12"/>
      <c r="E13" s="31">
        <f>COUNTIF($E$7:$E$9, "Weekdays")</f>
        <v>1</v>
      </c>
      <c r="F13" s="47" t="s">
        <v>23</v>
      </c>
      <c r="G13" s="48">
        <f>AVERAGEIF($E$7:$E$9,"Weekdays",K7:K9)</f>
        <v>27.405440561667014</v>
      </c>
      <c r="H13" s="49">
        <f>G13*1.2</f>
        <v>32.886528674000417</v>
      </c>
      <c r="I13" s="50">
        <f>G13*1.35</f>
        <v>36.99734475825047</v>
      </c>
      <c r="J13" s="51">
        <f>G13*1.6</f>
        <v>43.848704898667222</v>
      </c>
      <c r="K13" s="33">
        <f>+SUMIF($E$7:$E$9,"Weekdays",$J$7:$J$9)/SUMIF($E$7:$E$9,"Weekdays",$H$7:$H$9)</f>
        <v>27.405440561667014</v>
      </c>
      <c r="L13" s="12"/>
      <c r="M13" s="26"/>
      <c r="N13" s="26"/>
      <c r="O13" s="12"/>
      <c r="P13" s="12"/>
    </row>
    <row r="14" spans="1:18" x14ac:dyDescent="0.25">
      <c r="A14" s="12"/>
      <c r="B14" s="12"/>
      <c r="C14" s="12"/>
      <c r="D14" s="12"/>
      <c r="E14" s="31">
        <f>COUNTIF($E$7:$E$9, "Saturdays")</f>
        <v>1</v>
      </c>
      <c r="F14" s="47" t="s">
        <v>43</v>
      </c>
      <c r="G14" s="48">
        <f>AVERAGEIF($E$7:$E$9,"Saturdays",K7:K9)</f>
        <v>26.118769092224888</v>
      </c>
      <c r="H14" s="49">
        <f>G14*1.2</f>
        <v>31.342522910669864</v>
      </c>
      <c r="I14" s="50">
        <f>G14*1.35</f>
        <v>35.260338274503603</v>
      </c>
      <c r="J14" s="51">
        <f>G14*1.6</f>
        <v>41.790030547559823</v>
      </c>
      <c r="K14" s="33">
        <f>+SUMIF($E$7:$E$9,"saturdays",$J$7:$J$9)/SUMIF($E$7:$E$9,"saturdays",$H$7:$H$9)</f>
        <v>26.118769092224888</v>
      </c>
      <c r="L14" s="12"/>
      <c r="M14" s="26"/>
      <c r="N14" s="26"/>
      <c r="O14" s="12"/>
      <c r="P14" s="12"/>
    </row>
    <row r="15" spans="1:18" ht="15.75" thickBot="1" x14ac:dyDescent="0.3">
      <c r="A15" s="12"/>
      <c r="B15" s="12"/>
      <c r="C15" s="12"/>
      <c r="D15" s="12"/>
      <c r="E15" s="36">
        <f>COUNTIF($E$7:$E$9, "Sundays")</f>
        <v>1</v>
      </c>
      <c r="F15" s="47" t="s">
        <v>44</v>
      </c>
      <c r="G15" s="52">
        <f>AVERAGEIF($E$7:$E$9,"Sundays",K7:K9)</f>
        <v>33.191174356586394</v>
      </c>
      <c r="H15" s="49">
        <f>G15*1.2</f>
        <v>39.829409227903675</v>
      </c>
      <c r="I15" s="50">
        <f>G15*1.35</f>
        <v>44.808085381391635</v>
      </c>
      <c r="J15" s="51">
        <f>G15*1.6</f>
        <v>53.105878970538235</v>
      </c>
      <c r="K15" s="33">
        <f>+SUMIF($E$7:$E$9,"Sundays",$J$7:$J$9)/SUMIF($E$7:$E$9,"Sundays",$H$7:$H$9)</f>
        <v>33.191174356586394</v>
      </c>
      <c r="L15" s="12"/>
      <c r="M15" s="26"/>
      <c r="N15" s="26"/>
      <c r="O15" s="12"/>
      <c r="P15" s="12"/>
    </row>
    <row r="16" spans="1:18" ht="15.75" thickBot="1" x14ac:dyDescent="0.3">
      <c r="A16" s="12"/>
      <c r="B16" s="12"/>
      <c r="C16" s="12"/>
      <c r="D16" s="12"/>
      <c r="E16" s="12"/>
      <c r="F16" s="53" t="s">
        <v>39</v>
      </c>
      <c r="G16" s="37">
        <v>25</v>
      </c>
      <c r="H16" s="38"/>
      <c r="I16" s="38"/>
      <c r="J16" s="39"/>
      <c r="K16" s="40">
        <f>+SUM($J$7:$J$9)/SUM($H$7:$H$9)</f>
        <v>27.875777575558498</v>
      </c>
      <c r="L16" s="12"/>
      <c r="M16" s="26"/>
      <c r="N16" s="26"/>
      <c r="O16" s="12"/>
      <c r="P16" s="12"/>
    </row>
    <row r="17" spans="5:14" ht="15.75" thickBot="1" x14ac:dyDescent="0.3">
      <c r="E17" s="476" t="s">
        <v>69</v>
      </c>
      <c r="F17" s="476"/>
      <c r="G17" s="476"/>
      <c r="H17" s="476"/>
      <c r="I17" s="476"/>
      <c r="J17" s="476"/>
      <c r="K17" s="476"/>
      <c r="M17" s="26"/>
      <c r="N17" s="26"/>
    </row>
    <row r="18" spans="5:14" ht="36" x14ac:dyDescent="0.25">
      <c r="E18" s="77"/>
      <c r="F18" s="27" t="s">
        <v>33</v>
      </c>
      <c r="G18" s="28" t="s">
        <v>34</v>
      </c>
      <c r="H18" s="28" t="s">
        <v>35</v>
      </c>
      <c r="I18" s="28" t="s">
        <v>36</v>
      </c>
      <c r="J18" s="29" t="s">
        <v>37</v>
      </c>
      <c r="K18" s="30" t="s">
        <v>123</v>
      </c>
      <c r="M18" s="26"/>
      <c r="N18" s="26"/>
    </row>
    <row r="19" spans="5:14" x14ac:dyDescent="0.25">
      <c r="E19" s="78"/>
      <c r="F19" s="32" t="s">
        <v>23</v>
      </c>
      <c r="G19" s="63">
        <f>AVERAGEIF($E$7:$E$9,"Weekdays",$M$7:$M$9)</f>
        <v>2.7379477755058189E-2</v>
      </c>
      <c r="H19" s="64">
        <f>G19*0.8</f>
        <v>2.1903582204046552E-2</v>
      </c>
      <c r="I19" s="65">
        <f>G19*0.65</f>
        <v>1.7796660540787823E-2</v>
      </c>
      <c r="J19" s="66">
        <f>G19*0.4</f>
        <v>1.0951791102023276E-2</v>
      </c>
      <c r="K19" s="71">
        <f>+SUMIF($E$7:$E$9,"Weekdays",$G$7:$G$9)/SUMIF($E$7:$E$9,"Weekdays",$F$7:$F$9)</f>
        <v>2.7379477755058189E-2</v>
      </c>
      <c r="M19" s="26"/>
      <c r="N19" s="26"/>
    </row>
    <row r="20" spans="5:14" x14ac:dyDescent="0.25">
      <c r="E20" s="78"/>
      <c r="F20" s="34" t="s">
        <v>43</v>
      </c>
      <c r="G20" s="67">
        <f>AVERAGEIF($E$7:$E$9,"Saturdays",$M$7:$M$9)</f>
        <v>2.9998054779961307E-2</v>
      </c>
      <c r="H20" s="68">
        <f>G20*0.8</f>
        <v>2.3998443823969047E-2</v>
      </c>
      <c r="I20" s="69">
        <f>G20*0.65</f>
        <v>1.9498735606974849E-2</v>
      </c>
      <c r="J20" s="70">
        <f>G20*0.4</f>
        <v>1.1999221911984524E-2</v>
      </c>
      <c r="K20" s="71">
        <f>+SUMIF($E$7:$E$9,"Saturdays",$G$7:$G$9)/SUMIF($E$7:$E$9,"Saturdays",$F$7:$F$9)</f>
        <v>2.9998054779961307E-2</v>
      </c>
      <c r="M20" s="26"/>
      <c r="N20" s="26"/>
    </row>
    <row r="21" spans="5:14" ht="15.75" thickBot="1" x14ac:dyDescent="0.3">
      <c r="E21" s="78"/>
      <c r="F21" s="45" t="s">
        <v>44</v>
      </c>
      <c r="G21" s="447">
        <f>AVERAGEIF($E$7:$E$9,"Sundays",$M$7:$M$9)</f>
        <v>2.1795419414412421E-2</v>
      </c>
      <c r="H21" s="73">
        <f>G21*0.8</f>
        <v>1.7436335531529939E-2</v>
      </c>
      <c r="I21" s="74">
        <f>G21*0.65</f>
        <v>1.4167022619368074E-2</v>
      </c>
      <c r="J21" s="75">
        <f>G21*0.4</f>
        <v>8.7181677657649694E-3</v>
      </c>
      <c r="K21" s="72">
        <f>+SUMIF($E$7:$E$9,"Sundays",$G$7:$G$9)/SUMIF($E$7:$E$9,"Sundays",$F$7:$F$9)</f>
        <v>2.1795419414412421E-2</v>
      </c>
      <c r="M21" s="26"/>
      <c r="N21" s="26"/>
    </row>
    <row r="22" spans="5:14" x14ac:dyDescent="0.25">
      <c r="H22" s="62"/>
      <c r="M22" s="26"/>
      <c r="N22" s="26"/>
    </row>
    <row r="23" spans="5:14" x14ac:dyDescent="0.25">
      <c r="M23" s="26"/>
      <c r="N23" s="26"/>
    </row>
    <row r="24" spans="5:14" x14ac:dyDescent="0.25">
      <c r="M24" s="26"/>
      <c r="N24" s="26"/>
    </row>
    <row r="25" spans="5:14" x14ac:dyDescent="0.25">
      <c r="M25" s="26"/>
      <c r="N25" s="26"/>
    </row>
    <row r="26" spans="5:14" x14ac:dyDescent="0.25">
      <c r="M26" s="26"/>
      <c r="N26" s="26"/>
    </row>
    <row r="27" spans="5:14" x14ac:dyDescent="0.25">
      <c r="M27" s="26"/>
      <c r="N27" s="26"/>
    </row>
    <row r="28" spans="5:14" x14ac:dyDescent="0.25">
      <c r="M28" s="26"/>
      <c r="N28" s="26"/>
    </row>
    <row r="29" spans="5:14" x14ac:dyDescent="0.25">
      <c r="M29" s="26"/>
      <c r="N29" s="26"/>
    </row>
    <row r="30" spans="5:14" x14ac:dyDescent="0.25">
      <c r="M30" s="26"/>
      <c r="N30" s="26"/>
    </row>
    <row r="31" spans="5:14" x14ac:dyDescent="0.25">
      <c r="M31" s="26"/>
      <c r="N31" s="26"/>
    </row>
    <row r="32" spans="5:14" x14ac:dyDescent="0.25">
      <c r="M32" s="26"/>
      <c r="N32" s="26"/>
    </row>
    <row r="33" spans="13:14" x14ac:dyDescent="0.25">
      <c r="M33" s="26"/>
      <c r="N33" s="26"/>
    </row>
    <row r="34" spans="13:14" x14ac:dyDescent="0.25">
      <c r="M34" s="26"/>
      <c r="N34" s="26"/>
    </row>
    <row r="35" spans="13:14" x14ac:dyDescent="0.25">
      <c r="M35" s="26"/>
      <c r="N35" s="26"/>
    </row>
    <row r="36" spans="13:14" x14ac:dyDescent="0.25">
      <c r="M36" s="26"/>
      <c r="N36" s="26"/>
    </row>
    <row r="37" spans="13:14" x14ac:dyDescent="0.25">
      <c r="M37" s="26"/>
      <c r="N37" s="26"/>
    </row>
    <row r="38" spans="13:14" x14ac:dyDescent="0.25">
      <c r="M38" s="26"/>
      <c r="N38" s="26"/>
    </row>
    <row r="39" spans="13:14" x14ac:dyDescent="0.25">
      <c r="M39" s="26"/>
      <c r="N39" s="26"/>
    </row>
    <row r="40" spans="13:14" x14ac:dyDescent="0.25">
      <c r="M40" s="26"/>
      <c r="N40" s="26"/>
    </row>
    <row r="41" spans="13:14" x14ac:dyDescent="0.25">
      <c r="M41" s="26"/>
      <c r="N41" s="26"/>
    </row>
    <row r="42" spans="13:14" x14ac:dyDescent="0.25">
      <c r="M42" s="26"/>
      <c r="N42" s="26"/>
    </row>
    <row r="43" spans="13:14" x14ac:dyDescent="0.25">
      <c r="M43" s="26"/>
      <c r="N43" s="26"/>
    </row>
    <row r="44" spans="13:14" x14ac:dyDescent="0.25">
      <c r="M44" s="26"/>
      <c r="N44" s="26"/>
    </row>
    <row r="45" spans="13:14" x14ac:dyDescent="0.25">
      <c r="M45" s="26"/>
      <c r="N45" s="26"/>
    </row>
    <row r="46" spans="13:14" x14ac:dyDescent="0.25">
      <c r="M46" s="26"/>
      <c r="N46" s="26"/>
    </row>
    <row r="47" spans="13:14" x14ac:dyDescent="0.25">
      <c r="M47" s="26"/>
      <c r="N47" s="26"/>
    </row>
    <row r="48" spans="13:14" x14ac:dyDescent="0.25">
      <c r="M48" s="26"/>
      <c r="N48" s="26"/>
    </row>
    <row r="49" spans="13:14" x14ac:dyDescent="0.25">
      <c r="M49" s="26"/>
      <c r="N49" s="26"/>
    </row>
    <row r="50" spans="13:14" x14ac:dyDescent="0.25">
      <c r="M50" s="26"/>
      <c r="N50" s="26"/>
    </row>
    <row r="51" spans="13:14" x14ac:dyDescent="0.25">
      <c r="M51" s="26"/>
      <c r="N51" s="26"/>
    </row>
    <row r="52" spans="13:14" x14ac:dyDescent="0.25">
      <c r="M52" s="26"/>
      <c r="N52" s="26"/>
    </row>
    <row r="53" spans="13:14" x14ac:dyDescent="0.25">
      <c r="M53" s="26"/>
      <c r="N53" s="26"/>
    </row>
    <row r="54" spans="13:14" x14ac:dyDescent="0.25">
      <c r="M54" s="26"/>
      <c r="N54" s="26"/>
    </row>
    <row r="55" spans="13:14" x14ac:dyDescent="0.25">
      <c r="M55" s="26"/>
      <c r="N55" s="26"/>
    </row>
    <row r="56" spans="13:14" x14ac:dyDescent="0.25">
      <c r="M56" s="26"/>
      <c r="N56" s="26"/>
    </row>
    <row r="57" spans="13:14" x14ac:dyDescent="0.25">
      <c r="M57" s="26"/>
      <c r="N57" s="26"/>
    </row>
    <row r="58" spans="13:14" x14ac:dyDescent="0.25">
      <c r="M58" s="26"/>
      <c r="N58" s="26"/>
    </row>
    <row r="59" spans="13:14" x14ac:dyDescent="0.25">
      <c r="M59" s="26"/>
      <c r="N59" s="26"/>
    </row>
    <row r="60" spans="13:14" x14ac:dyDescent="0.25">
      <c r="M60" s="26"/>
      <c r="N60" s="26"/>
    </row>
    <row r="61" spans="13:14" x14ac:dyDescent="0.25">
      <c r="M61" s="26"/>
      <c r="N61" s="26"/>
    </row>
    <row r="62" spans="13:14" x14ac:dyDescent="0.25">
      <c r="M62" s="26"/>
      <c r="N62" s="26"/>
    </row>
    <row r="63" spans="13:14" x14ac:dyDescent="0.25">
      <c r="M63" s="26"/>
      <c r="N63" s="26"/>
    </row>
    <row r="64" spans="13:14" x14ac:dyDescent="0.25">
      <c r="M64" s="26"/>
      <c r="N64" s="26"/>
    </row>
    <row r="65" spans="13:14" x14ac:dyDescent="0.25">
      <c r="M65" s="26"/>
      <c r="N65" s="26"/>
    </row>
    <row r="66" spans="13:14" x14ac:dyDescent="0.25">
      <c r="M66" s="26"/>
      <c r="N66" s="26"/>
    </row>
    <row r="67" spans="13:14" x14ac:dyDescent="0.25">
      <c r="M67" s="26"/>
      <c r="N67" s="26"/>
    </row>
    <row r="68" spans="13:14" x14ac:dyDescent="0.25">
      <c r="M68" s="26"/>
      <c r="N68" s="26"/>
    </row>
    <row r="69" spans="13:14" x14ac:dyDescent="0.25">
      <c r="M69" s="26"/>
      <c r="N69" s="26"/>
    </row>
    <row r="70" spans="13:14" x14ac:dyDescent="0.25">
      <c r="M70" s="26"/>
      <c r="N70" s="26"/>
    </row>
    <row r="71" spans="13:14" x14ac:dyDescent="0.25">
      <c r="M71" s="26"/>
      <c r="N71" s="26"/>
    </row>
    <row r="72" spans="13:14" x14ac:dyDescent="0.25">
      <c r="M72" s="26"/>
      <c r="N72" s="26"/>
    </row>
    <row r="73" spans="13:14" x14ac:dyDescent="0.25">
      <c r="M73" s="26"/>
      <c r="N73" s="26"/>
    </row>
    <row r="74" spans="13:14" x14ac:dyDescent="0.25">
      <c r="M74" s="26"/>
      <c r="N74" s="26"/>
    </row>
    <row r="75" spans="13:14" x14ac:dyDescent="0.25">
      <c r="M75" s="26"/>
      <c r="N75" s="26"/>
    </row>
    <row r="76" spans="13:14" x14ac:dyDescent="0.25">
      <c r="M76" s="26"/>
      <c r="N76" s="26"/>
    </row>
    <row r="77" spans="13:14" x14ac:dyDescent="0.25">
      <c r="M77" s="26"/>
      <c r="N77" s="26"/>
    </row>
    <row r="78" spans="13:14" x14ac:dyDescent="0.25">
      <c r="M78" s="26"/>
      <c r="N78" s="26"/>
    </row>
    <row r="79" spans="13:14" x14ac:dyDescent="0.25">
      <c r="M79" s="26"/>
      <c r="N79" s="26"/>
    </row>
    <row r="80" spans="13:14" x14ac:dyDescent="0.25">
      <c r="M80" s="26"/>
      <c r="N80" s="26"/>
    </row>
    <row r="81" spans="13:14" x14ac:dyDescent="0.25">
      <c r="M81" s="26"/>
      <c r="N81" s="26"/>
    </row>
    <row r="82" spans="13:14" x14ac:dyDescent="0.25">
      <c r="M82" s="26"/>
      <c r="N82" s="26"/>
    </row>
    <row r="83" spans="13:14" x14ac:dyDescent="0.25">
      <c r="M83" s="26"/>
      <c r="N83" s="26"/>
    </row>
    <row r="84" spans="13:14" x14ac:dyDescent="0.25">
      <c r="M84" s="26"/>
      <c r="N84" s="26"/>
    </row>
    <row r="85" spans="13:14" x14ac:dyDescent="0.25">
      <c r="M85" s="26"/>
      <c r="N85" s="26"/>
    </row>
    <row r="86" spans="13:14" x14ac:dyDescent="0.25">
      <c r="M86" s="26"/>
      <c r="N86" s="26"/>
    </row>
    <row r="87" spans="13:14" x14ac:dyDescent="0.25">
      <c r="M87" s="26"/>
      <c r="N87" s="26"/>
    </row>
    <row r="88" spans="13:14" x14ac:dyDescent="0.25">
      <c r="M88" s="26"/>
      <c r="N88" s="26"/>
    </row>
    <row r="89" spans="13:14" x14ac:dyDescent="0.25">
      <c r="M89" s="26"/>
      <c r="N89" s="26"/>
    </row>
    <row r="90" spans="13:14" x14ac:dyDescent="0.25">
      <c r="M90" s="26"/>
      <c r="N90" s="26"/>
    </row>
    <row r="91" spans="13:14" x14ac:dyDescent="0.25">
      <c r="M91" s="26"/>
      <c r="N91" s="26"/>
    </row>
    <row r="92" spans="13:14" x14ac:dyDescent="0.25">
      <c r="M92" s="26"/>
      <c r="N92" s="26"/>
    </row>
    <row r="93" spans="13:14" x14ac:dyDescent="0.25">
      <c r="M93" s="26"/>
      <c r="N93" s="26"/>
    </row>
    <row r="94" spans="13:14" x14ac:dyDescent="0.25">
      <c r="M94" s="26"/>
      <c r="N94" s="26"/>
    </row>
    <row r="95" spans="13:14" x14ac:dyDescent="0.25">
      <c r="M95" s="26"/>
      <c r="N95" s="26"/>
    </row>
    <row r="96" spans="13:14" x14ac:dyDescent="0.25">
      <c r="M96" s="26"/>
      <c r="N96" s="26"/>
    </row>
  </sheetData>
  <autoFilter ref="A2:P3" xr:uid="{B705A104-476E-4AB4-9F61-7DEA9C03266E}"/>
  <mergeCells count="2">
    <mergeCell ref="E11:K11"/>
    <mergeCell ref="E17:K17"/>
  </mergeCells>
  <conditionalFormatting sqref="L6">
    <cfRule type="cellIs" dxfId="30" priority="3" operator="between">
      <formula>1.35</formula>
      <formula>1.6</formula>
    </cfRule>
    <cfRule type="cellIs" dxfId="29" priority="4" operator="between">
      <formula>1.2</formula>
      <formula>1.35</formula>
    </cfRule>
    <cfRule type="cellIs" dxfId="28" priority="5" operator="greaterThan">
      <formula>1.6</formula>
    </cfRule>
  </conditionalFormatting>
  <conditionalFormatting sqref="N7:N9">
    <cfRule type="cellIs" dxfId="27" priority="6" operator="lessThan">
      <formula>0.4</formula>
    </cfRule>
    <cfRule type="cellIs" dxfId="26" priority="7" operator="between">
      <formula>0.65</formula>
      <formula>0.4</formula>
    </cfRule>
    <cfRule type="cellIs" dxfId="25" priority="8" operator="between">
      <formula>0.8</formula>
      <formula>0.65</formula>
    </cfRule>
  </conditionalFormatting>
  <conditionalFormatting sqref="O7:O9">
    <cfRule type="cellIs" dxfId="24" priority="12" operator="lessThan">
      <formula>$G$16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B07E-1B53-44D5-AA4B-8722C5B28026}">
  <dimension ref="A1:T99"/>
  <sheetViews>
    <sheetView workbookViewId="0">
      <selection activeCell="A15" sqref="A15"/>
    </sheetView>
  </sheetViews>
  <sheetFormatPr defaultRowHeight="15" x14ac:dyDescent="0.25"/>
  <cols>
    <col min="1" max="1" width="25.5703125" bestFit="1" customWidth="1"/>
    <col min="2" max="2" width="9.85546875" customWidth="1"/>
    <col min="3" max="3" width="10.7109375" customWidth="1"/>
    <col min="4" max="4" width="10.5703125" customWidth="1"/>
    <col min="5" max="5" width="10.7109375" customWidth="1"/>
    <col min="6" max="6" width="13.85546875" customWidth="1"/>
    <col min="7" max="7" width="15.140625" bestFit="1" customWidth="1"/>
    <col min="8" max="8" width="13.85546875" bestFit="1" customWidth="1"/>
    <col min="9" max="9" width="14.42578125" customWidth="1"/>
    <col min="10" max="10" width="12.42578125" customWidth="1"/>
    <col min="11" max="11" width="11.7109375" customWidth="1"/>
    <col min="12" max="14" width="14.140625" customWidth="1"/>
    <col min="15" max="15" width="12.5703125" customWidth="1"/>
    <col min="16" max="16" width="35.7109375" customWidth="1"/>
    <col min="17" max="17" width="14.7109375" bestFit="1" customWidth="1"/>
    <col min="18" max="19" width="14.85546875" bestFit="1" customWidth="1"/>
  </cols>
  <sheetData>
    <row r="1" spans="1:20" ht="37.5" thickBot="1" x14ac:dyDescent="0.75">
      <c r="A1" s="470" t="s">
        <v>83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7"/>
    </row>
    <row r="2" spans="1:20" s="4" customFormat="1" ht="75.75" thickBot="1" x14ac:dyDescent="0.3">
      <c r="A2" s="23" t="s">
        <v>7</v>
      </c>
      <c r="B2" s="24" t="s">
        <v>49</v>
      </c>
      <c r="C2" s="18" t="s">
        <v>50</v>
      </c>
      <c r="D2" s="18" t="s">
        <v>0</v>
      </c>
      <c r="E2" s="19" t="s">
        <v>1</v>
      </c>
      <c r="F2" s="19" t="s">
        <v>2</v>
      </c>
      <c r="G2" s="19" t="s">
        <v>27</v>
      </c>
      <c r="H2" s="20" t="s">
        <v>29</v>
      </c>
      <c r="I2" s="20" t="s">
        <v>42</v>
      </c>
      <c r="J2" s="21" t="s">
        <v>28</v>
      </c>
      <c r="K2" s="22" t="s">
        <v>11</v>
      </c>
      <c r="L2" s="22" t="s">
        <v>48</v>
      </c>
      <c r="M2" s="79" t="s">
        <v>69</v>
      </c>
      <c r="N2" s="80" t="s">
        <v>71</v>
      </c>
      <c r="O2" s="81" t="s">
        <v>31</v>
      </c>
      <c r="P2" s="82" t="s">
        <v>32</v>
      </c>
    </row>
    <row r="3" spans="1:20" x14ac:dyDescent="0.25">
      <c r="A3" s="112" t="s">
        <v>77</v>
      </c>
      <c r="B3" s="126">
        <v>901</v>
      </c>
      <c r="C3" s="113" t="s">
        <v>17</v>
      </c>
      <c r="D3" s="114" t="s">
        <v>18</v>
      </c>
      <c r="E3" s="113" t="s">
        <v>44</v>
      </c>
      <c r="F3" s="115">
        <v>7700721.6028364496</v>
      </c>
      <c r="G3" s="115">
        <v>736192.12971877097</v>
      </c>
      <c r="H3" s="116">
        <v>866179</v>
      </c>
      <c r="I3" s="117">
        <v>6432.28999999999</v>
      </c>
      <c r="J3" s="115">
        <f t="shared" ref="J3:J8" si="0">F3-G3</f>
        <v>6964529.4731176784</v>
      </c>
      <c r="K3" s="139">
        <f t="shared" ref="K3:K8" si="1">J3/H3</f>
        <v>8.0405198845939214</v>
      </c>
      <c r="L3" s="132">
        <f t="shared" ref="L3:L8" si="2">K3/$G$16</f>
        <v>1.1607729762552508</v>
      </c>
      <c r="M3" s="105">
        <f t="shared" ref="M3:M8" si="3">(G3/F3)</f>
        <v>9.5600408336746684E-2</v>
      </c>
      <c r="N3" s="99">
        <f t="shared" ref="N3:N8" si="4">+IF(E3="Weekdays",M3/$G$22,IF(E3="Saturdays",M3/$G$23,IF(E3="Sundays",M3/$G$24,"NA")))</f>
        <v>1.2128239087516564</v>
      </c>
      <c r="O3" s="120">
        <f t="shared" ref="O3:O8" si="5">H3/I3</f>
        <v>134.66106161258298</v>
      </c>
      <c r="P3" s="83"/>
    </row>
    <row r="4" spans="1:20" x14ac:dyDescent="0.25">
      <c r="A4" s="101" t="s">
        <v>77</v>
      </c>
      <c r="B4" s="127">
        <v>902</v>
      </c>
      <c r="C4" s="97" t="s">
        <v>94</v>
      </c>
      <c r="D4" s="98" t="s">
        <v>18</v>
      </c>
      <c r="E4" s="97" t="s">
        <v>44</v>
      </c>
      <c r="F4" s="102">
        <v>9106533.5755155608</v>
      </c>
      <c r="G4" s="102">
        <v>565050.13832024799</v>
      </c>
      <c r="H4" s="103">
        <v>866083</v>
      </c>
      <c r="I4" s="104">
        <v>7480.34</v>
      </c>
      <c r="J4" s="102">
        <f t="shared" si="0"/>
        <v>8541483.4371953122</v>
      </c>
      <c r="K4" s="121">
        <f t="shared" si="1"/>
        <v>9.8621996242800201</v>
      </c>
      <c r="L4" s="99">
        <f t="shared" si="2"/>
        <v>1.4237605247682432</v>
      </c>
      <c r="M4" s="99">
        <f t="shared" si="3"/>
        <v>6.2048872233829988E-2</v>
      </c>
      <c r="N4" s="99">
        <f t="shared" si="4"/>
        <v>0.78717609124834353</v>
      </c>
      <c r="O4" s="122">
        <f t="shared" si="5"/>
        <v>115.7812345428149</v>
      </c>
      <c r="P4" s="84"/>
    </row>
    <row r="5" spans="1:20" x14ac:dyDescent="0.25">
      <c r="A5" s="101" t="s">
        <v>77</v>
      </c>
      <c r="B5" s="127">
        <v>901</v>
      </c>
      <c r="C5" s="98" t="s">
        <v>17</v>
      </c>
      <c r="D5" s="98" t="s">
        <v>18</v>
      </c>
      <c r="E5" s="98" t="s">
        <v>43</v>
      </c>
      <c r="F5" s="102">
        <v>6878916.2051064596</v>
      </c>
      <c r="G5" s="102">
        <v>681957.58508916502</v>
      </c>
      <c r="H5" s="103">
        <v>818813</v>
      </c>
      <c r="I5" s="104">
        <v>5739.3699999999899</v>
      </c>
      <c r="J5" s="102">
        <f t="shared" si="0"/>
        <v>6196958.6200172948</v>
      </c>
      <c r="K5" s="121">
        <f t="shared" si="1"/>
        <v>7.5682220727043843</v>
      </c>
      <c r="L5" s="99">
        <f t="shared" si="2"/>
        <v>1.0925895074429541</v>
      </c>
      <c r="M5" s="99">
        <f t="shared" si="3"/>
        <v>9.913735896112881E-2</v>
      </c>
      <c r="N5" s="99">
        <f t="shared" si="4"/>
        <v>1.0650797866600328</v>
      </c>
      <c r="O5" s="122">
        <f t="shared" si="5"/>
        <v>142.66600689622754</v>
      </c>
      <c r="P5" s="85"/>
    </row>
    <row r="6" spans="1:20" x14ac:dyDescent="0.25">
      <c r="A6" s="101" t="s">
        <v>77</v>
      </c>
      <c r="B6" s="127">
        <v>902</v>
      </c>
      <c r="C6" s="97" t="s">
        <v>94</v>
      </c>
      <c r="D6" s="98" t="s">
        <v>18</v>
      </c>
      <c r="E6" s="97" t="s">
        <v>43</v>
      </c>
      <c r="F6" s="102">
        <v>8174956.0537355598</v>
      </c>
      <c r="G6" s="102">
        <v>711402.15856605605</v>
      </c>
      <c r="H6" s="103">
        <v>971382</v>
      </c>
      <c r="I6" s="104">
        <v>6717.18</v>
      </c>
      <c r="J6" s="102">
        <f t="shared" si="0"/>
        <v>7463553.895169504</v>
      </c>
      <c r="K6" s="121">
        <f t="shared" si="1"/>
        <v>7.6834385392868141</v>
      </c>
      <c r="L6" s="99">
        <f t="shared" si="2"/>
        <v>1.1092227802596479</v>
      </c>
      <c r="M6" s="99">
        <f t="shared" si="3"/>
        <v>8.7022138576632421E-2</v>
      </c>
      <c r="N6" s="99">
        <f t="shared" si="4"/>
        <v>0.93492021333996722</v>
      </c>
      <c r="O6" s="122">
        <f t="shared" si="5"/>
        <v>144.61157807294131</v>
      </c>
      <c r="P6" s="84"/>
    </row>
    <row r="7" spans="1:20" x14ac:dyDescent="0.25">
      <c r="A7" s="101" t="s">
        <v>77</v>
      </c>
      <c r="B7" s="127">
        <v>901</v>
      </c>
      <c r="C7" s="97" t="s">
        <v>17</v>
      </c>
      <c r="D7" s="98" t="s">
        <v>18</v>
      </c>
      <c r="E7" s="97" t="s">
        <v>23</v>
      </c>
      <c r="F7" s="102">
        <v>33202109.0175528</v>
      </c>
      <c r="G7" s="102">
        <v>2776286.6089348099</v>
      </c>
      <c r="H7" s="103">
        <v>4023516</v>
      </c>
      <c r="I7" s="104">
        <v>27678.92</v>
      </c>
      <c r="J7" s="102">
        <f t="shared" si="0"/>
        <v>30425822.408617992</v>
      </c>
      <c r="K7" s="121">
        <f t="shared" si="1"/>
        <v>7.5619986123127116</v>
      </c>
      <c r="L7" s="99">
        <f t="shared" si="2"/>
        <v>1.0916910550113783</v>
      </c>
      <c r="M7" s="99">
        <f t="shared" si="3"/>
        <v>8.36177788425152E-2</v>
      </c>
      <c r="N7" s="99">
        <f t="shared" si="4"/>
        <v>0.85041502127766466</v>
      </c>
      <c r="O7" s="122">
        <f t="shared" si="5"/>
        <v>145.36390870742068</v>
      </c>
      <c r="P7" s="84"/>
    </row>
    <row r="8" spans="1:20" ht="15.75" thickBot="1" x14ac:dyDescent="0.3">
      <c r="A8" s="106" t="s">
        <v>77</v>
      </c>
      <c r="B8" s="128">
        <v>902</v>
      </c>
      <c r="C8" s="107" t="s">
        <v>94</v>
      </c>
      <c r="D8" s="108" t="s">
        <v>18</v>
      </c>
      <c r="E8" s="107" t="s">
        <v>23</v>
      </c>
      <c r="F8" s="109">
        <v>40462291.545253202</v>
      </c>
      <c r="G8" s="109">
        <v>4573611.3793709502</v>
      </c>
      <c r="H8" s="110">
        <v>5704099</v>
      </c>
      <c r="I8" s="111">
        <v>33435.050000000097</v>
      </c>
      <c r="J8" s="109">
        <f t="shared" si="0"/>
        <v>35888680.165882252</v>
      </c>
      <c r="K8" s="123">
        <f t="shared" si="1"/>
        <v>6.2917351479843271</v>
      </c>
      <c r="L8" s="124">
        <f t="shared" si="2"/>
        <v>0.90830894498862169</v>
      </c>
      <c r="M8" s="124">
        <f t="shared" si="3"/>
        <v>0.11303391885889121</v>
      </c>
      <c r="N8" s="124">
        <f t="shared" si="4"/>
        <v>1.1495849787223356</v>
      </c>
      <c r="O8" s="125">
        <f t="shared" si="5"/>
        <v>170.60237684705072</v>
      </c>
      <c r="P8" s="86"/>
      <c r="Q8" s="2"/>
      <c r="S8" s="2"/>
      <c r="T8" s="2"/>
    </row>
    <row r="9" spans="1:20" ht="27.75" thickBot="1" x14ac:dyDescent="0.55000000000000004">
      <c r="A9" s="434" t="s">
        <v>141</v>
      </c>
      <c r="B9" s="434"/>
      <c r="C9" s="434"/>
      <c r="D9" s="434"/>
      <c r="E9" s="434"/>
      <c r="F9" s="434"/>
      <c r="G9" s="434"/>
      <c r="H9" s="434"/>
      <c r="I9" s="434"/>
      <c r="J9" s="434"/>
      <c r="K9" s="434"/>
      <c r="L9" s="434"/>
      <c r="M9" s="434"/>
      <c r="N9" s="434"/>
      <c r="O9" s="434"/>
      <c r="P9" s="434"/>
    </row>
    <row r="10" spans="1:20" ht="15.75" thickBot="1" x14ac:dyDescent="0.3">
      <c r="A10" s="141" t="s">
        <v>130</v>
      </c>
      <c r="B10" s="142"/>
      <c r="C10" s="142"/>
      <c r="D10" s="143"/>
      <c r="E10" s="138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4"/>
    </row>
    <row r="11" spans="1:20" ht="27.75" thickBot="1" x14ac:dyDescent="0.55000000000000004">
      <c r="A11" s="434" t="s">
        <v>144</v>
      </c>
      <c r="B11" s="434"/>
      <c r="C11" s="434"/>
      <c r="D11" s="434"/>
      <c r="E11" s="434"/>
      <c r="F11" s="434"/>
      <c r="G11" s="434"/>
      <c r="H11" s="434"/>
      <c r="I11" s="434"/>
      <c r="J11" s="434"/>
      <c r="K11" s="434"/>
      <c r="L11" s="434"/>
      <c r="M11" s="434"/>
      <c r="N11" s="434"/>
      <c r="O11" s="434"/>
      <c r="P11" s="434"/>
    </row>
    <row r="12" spans="1:20" ht="15.75" thickBot="1" x14ac:dyDescent="0.3">
      <c r="A12" s="448" t="s">
        <v>130</v>
      </c>
      <c r="B12" s="449"/>
      <c r="C12" s="449"/>
      <c r="D12" s="449"/>
      <c r="E12" s="450"/>
      <c r="F12" s="451"/>
      <c r="G12" s="451"/>
      <c r="H12" s="452"/>
      <c r="I12" s="453"/>
      <c r="J12" s="454"/>
      <c r="K12" s="455"/>
      <c r="L12" s="450"/>
      <c r="M12" s="450"/>
      <c r="N12" s="450"/>
      <c r="O12" s="456"/>
      <c r="P12" s="457"/>
    </row>
    <row r="13" spans="1:20" x14ac:dyDescent="0.25">
      <c r="A13" s="12"/>
      <c r="B13" s="12"/>
      <c r="C13" s="12"/>
      <c r="D13" s="12"/>
      <c r="E13" s="12"/>
      <c r="F13" s="12"/>
      <c r="G13" s="55"/>
      <c r="H13" s="12"/>
      <c r="I13" s="12"/>
      <c r="J13" s="12"/>
      <c r="K13" s="12"/>
      <c r="L13" s="12"/>
      <c r="M13" s="26"/>
      <c r="N13" s="26"/>
      <c r="O13" s="12"/>
      <c r="P13" s="12"/>
      <c r="Q13" s="5"/>
      <c r="R13" s="6"/>
      <c r="S13" s="5"/>
      <c r="T13" s="7"/>
    </row>
    <row r="14" spans="1:20" ht="15.75" thickBot="1" x14ac:dyDescent="0.3">
      <c r="A14" s="12"/>
      <c r="B14" s="12"/>
      <c r="C14" s="12"/>
      <c r="D14" s="12"/>
      <c r="E14" s="475" t="s">
        <v>70</v>
      </c>
      <c r="F14" s="475"/>
      <c r="G14" s="475"/>
      <c r="H14" s="475"/>
      <c r="I14" s="475"/>
      <c r="J14" s="475"/>
      <c r="K14" s="475"/>
      <c r="L14" s="12"/>
      <c r="M14" s="26"/>
      <c r="N14" s="26"/>
      <c r="O14" s="12"/>
      <c r="P14" s="12"/>
      <c r="Q14" s="5"/>
      <c r="R14" s="6"/>
      <c r="S14" s="5"/>
      <c r="T14" s="7"/>
    </row>
    <row r="15" spans="1:20" ht="36" x14ac:dyDescent="0.25">
      <c r="A15" s="12"/>
      <c r="B15" s="12"/>
      <c r="C15" s="12"/>
      <c r="D15" s="12"/>
      <c r="E15" s="27" t="s">
        <v>41</v>
      </c>
      <c r="F15" s="41" t="s">
        <v>33</v>
      </c>
      <c r="G15" s="42" t="s">
        <v>34</v>
      </c>
      <c r="H15" s="42" t="s">
        <v>35</v>
      </c>
      <c r="I15" s="42" t="s">
        <v>36</v>
      </c>
      <c r="J15" s="43" t="s">
        <v>37</v>
      </c>
      <c r="K15" s="30" t="s">
        <v>40</v>
      </c>
      <c r="L15" s="12"/>
      <c r="M15" s="26"/>
      <c r="N15" s="26"/>
      <c r="O15" s="12"/>
      <c r="P15" s="12"/>
      <c r="Q15" s="5"/>
      <c r="R15" s="6"/>
      <c r="S15" s="5"/>
    </row>
    <row r="16" spans="1:20" x14ac:dyDescent="0.25">
      <c r="A16" s="12"/>
      <c r="B16" s="12"/>
      <c r="C16" s="12"/>
      <c r="D16" s="12"/>
      <c r="E16" s="31">
        <f>COUNTIF($E$3:$E$8, "Weekdays")</f>
        <v>2</v>
      </c>
      <c r="F16" s="47" t="s">
        <v>23</v>
      </c>
      <c r="G16" s="48">
        <f>AVERAGEIF($E$3:$E$8,"Weekdays",K3:K8)</f>
        <v>6.9268668801485198</v>
      </c>
      <c r="H16" s="49">
        <f>G16*1.2</f>
        <v>8.3122402561782227</v>
      </c>
      <c r="I16" s="50">
        <f>G16*1.35</f>
        <v>9.351270288200503</v>
      </c>
      <c r="J16" s="51">
        <f>G16*1.6</f>
        <v>11.082987008237632</v>
      </c>
      <c r="K16" s="33">
        <f>+SUMIF($E$3:$E$8,"Weekdays",$J$3:$J$8)/SUMIF($E$3:$E$8,"Weekdays",$H$3:$H$8)</f>
        <v>6.8171388952482443</v>
      </c>
      <c r="L16" s="12"/>
      <c r="M16" s="26"/>
      <c r="N16" s="26"/>
      <c r="O16" s="12"/>
      <c r="P16" s="12"/>
    </row>
    <row r="17" spans="1:16" x14ac:dyDescent="0.25">
      <c r="A17" s="12"/>
      <c r="B17" s="12"/>
      <c r="C17" s="12"/>
      <c r="D17" s="12"/>
      <c r="E17" s="31">
        <f>COUNTIF($E$3:$E$8, "Saturdays")</f>
        <v>2</v>
      </c>
      <c r="F17" s="47" t="s">
        <v>43</v>
      </c>
      <c r="G17" s="48">
        <f>AVERAGEIF($E$3:$E$8,"Saturdays",K3:K8)</f>
        <v>7.6258303059955992</v>
      </c>
      <c r="H17" s="49">
        <f>G17*1.2</f>
        <v>9.1509963671947183</v>
      </c>
      <c r="I17" s="50">
        <f>G17*1.35</f>
        <v>10.29487091309406</v>
      </c>
      <c r="J17" s="51">
        <f>G17*1.6</f>
        <v>12.20132848959296</v>
      </c>
      <c r="K17" s="33">
        <f>+SUMIF($E$3:$E$8,"saturdays",$J$3:$J$8)/SUMIF($E$3:$E$8,"saturdays",$H$3:$H$8)</f>
        <v>7.6307399558074946</v>
      </c>
      <c r="L17" s="12"/>
      <c r="M17" s="26"/>
      <c r="N17" s="26"/>
      <c r="O17" s="12"/>
      <c r="P17" s="12"/>
    </row>
    <row r="18" spans="1:16" ht="15.75" thickBot="1" x14ac:dyDescent="0.3">
      <c r="A18" s="12"/>
      <c r="B18" s="12"/>
      <c r="C18" s="12"/>
      <c r="D18" s="12"/>
      <c r="E18" s="36">
        <f>COUNTIF($E$3:$E$8, "Sundays")</f>
        <v>2</v>
      </c>
      <c r="F18" s="47" t="s">
        <v>44</v>
      </c>
      <c r="G18" s="52">
        <f>AVERAGEIF($E$3:$E$8,"Sundays",K3:K8)</f>
        <v>8.9513597544369716</v>
      </c>
      <c r="H18" s="49">
        <f>G18*1.2</f>
        <v>10.741631705324366</v>
      </c>
      <c r="I18" s="50">
        <f>G18*1.35</f>
        <v>12.084335668489912</v>
      </c>
      <c r="J18" s="51">
        <f>G18*1.6</f>
        <v>14.322175607099155</v>
      </c>
      <c r="K18" s="33">
        <f>+SUMIF($E$3:$E$8,"Sundays",$J$3:$J$8)/SUMIF($E$3:$E$8,"Sundays",$H$3:$H$8)</f>
        <v>8.9513092767219913</v>
      </c>
      <c r="L18" s="12"/>
      <c r="M18" s="26"/>
      <c r="N18" s="26"/>
      <c r="O18" s="12"/>
      <c r="P18" s="12"/>
    </row>
    <row r="19" spans="1:16" ht="15.75" thickBot="1" x14ac:dyDescent="0.3">
      <c r="A19" s="12"/>
      <c r="B19" s="12"/>
      <c r="C19" s="12"/>
      <c r="D19" s="12"/>
      <c r="E19" s="12"/>
      <c r="F19" s="53" t="s">
        <v>39</v>
      </c>
      <c r="G19" s="37">
        <v>70</v>
      </c>
      <c r="H19" s="38"/>
      <c r="I19" s="38"/>
      <c r="J19" s="39"/>
      <c r="K19" s="40">
        <f>+SUM($J$3:$J$8)/SUM($H$3:$H$8)</f>
        <v>7.2060761632087758</v>
      </c>
      <c r="L19" s="12"/>
      <c r="M19" s="26"/>
      <c r="N19" s="26"/>
      <c r="O19" s="12"/>
      <c r="P19" s="12"/>
    </row>
    <row r="20" spans="1:16" ht="15.75" thickBot="1" x14ac:dyDescent="0.3">
      <c r="E20" s="476" t="s">
        <v>69</v>
      </c>
      <c r="F20" s="476"/>
      <c r="G20" s="476"/>
      <c r="H20" s="476"/>
      <c r="I20" s="476"/>
      <c r="J20" s="476"/>
      <c r="K20" s="476"/>
      <c r="M20" s="26"/>
      <c r="N20" s="26"/>
    </row>
    <row r="21" spans="1:16" ht="36" x14ac:dyDescent="0.25">
      <c r="E21" s="77"/>
      <c r="F21" s="27" t="s">
        <v>33</v>
      </c>
      <c r="G21" s="28" t="s">
        <v>34</v>
      </c>
      <c r="H21" s="28" t="s">
        <v>35</v>
      </c>
      <c r="I21" s="28" t="s">
        <v>36</v>
      </c>
      <c r="J21" s="29" t="s">
        <v>37</v>
      </c>
      <c r="K21" s="30" t="s">
        <v>123</v>
      </c>
      <c r="M21" s="26"/>
      <c r="N21" s="26"/>
    </row>
    <row r="22" spans="1:16" x14ac:dyDescent="0.25">
      <c r="E22" s="78"/>
      <c r="F22" s="32" t="s">
        <v>23</v>
      </c>
      <c r="G22" s="63">
        <f>AVERAGEIF($E$3:$E$99,"Weekdays",$M$3:$M$99)</f>
        <v>9.8325848850703196E-2</v>
      </c>
      <c r="H22" s="64">
        <f>G22*0.8</f>
        <v>7.8660679080562568E-2</v>
      </c>
      <c r="I22" s="65">
        <f>G22*0.65</f>
        <v>6.3911801752957076E-2</v>
      </c>
      <c r="J22" s="66">
        <f>G22*0.4</f>
        <v>3.9330339540281284E-2</v>
      </c>
      <c r="K22" s="71">
        <f>+SUMIF($E$3:$E$8,"Weekdays",$G$3:$G$8)/SUMIF($E$3:$E$8,"Weekdays",$F$3:$F$8)</f>
        <v>9.9775440133246768E-2</v>
      </c>
      <c r="M22" s="26"/>
      <c r="N22" s="26"/>
    </row>
    <row r="23" spans="1:16" x14ac:dyDescent="0.25">
      <c r="E23" s="78"/>
      <c r="F23" s="34" t="s">
        <v>43</v>
      </c>
      <c r="G23" s="67">
        <f>AVERAGEIF($E$3:$E$99,"Saturdays",$M$3:$M$99)</f>
        <v>9.3079748768880616E-2</v>
      </c>
      <c r="H23" s="68">
        <f>G23*0.8</f>
        <v>7.4463799015104498E-2</v>
      </c>
      <c r="I23" s="69">
        <f>G23*0.65</f>
        <v>6.0501836699772403E-2</v>
      </c>
      <c r="J23" s="70">
        <f>G23*0.4</f>
        <v>3.7231899507552249E-2</v>
      </c>
      <c r="K23" s="71">
        <f>+SUMIF($E$3:$E$8,"Saturdays",$G$3:$G$8)/SUMIF($E$3:$E$8,"Saturdays",$F$3:$F$8)</f>
        <v>9.2558228188552583E-2</v>
      </c>
      <c r="M23" s="26"/>
      <c r="N23" s="26"/>
    </row>
    <row r="24" spans="1:16" ht="15.75" thickBot="1" x14ac:dyDescent="0.3">
      <c r="E24" s="78"/>
      <c r="F24" s="45" t="s">
        <v>44</v>
      </c>
      <c r="G24" s="447">
        <f>AVERAGEIF($E$3:$E$99,"Sundays",$M$3:$M$99)</f>
        <v>7.8824640285288336E-2</v>
      </c>
      <c r="H24" s="73">
        <f>G24*0.8</f>
        <v>6.3059712228230674E-2</v>
      </c>
      <c r="I24" s="74">
        <f>G24*0.65</f>
        <v>5.1236016185437418E-2</v>
      </c>
      <c r="J24" s="75">
        <f>G24*0.4</f>
        <v>3.1529856114115337E-2</v>
      </c>
      <c r="K24" s="72">
        <f>+SUMIF($E$3:$E$8,"Sundays",$G$3:$G$8)/SUMIF($E$3:$E$8,"Sundays",$F$3:$F$8)</f>
        <v>7.7421461995474311E-2</v>
      </c>
      <c r="M24" s="26"/>
      <c r="N24" s="26"/>
    </row>
    <row r="25" spans="1:16" x14ac:dyDescent="0.25">
      <c r="M25" s="26"/>
      <c r="N25" s="26"/>
    </row>
    <row r="26" spans="1:16" x14ac:dyDescent="0.25">
      <c r="M26" s="26"/>
      <c r="N26" s="26"/>
    </row>
    <row r="27" spans="1:16" x14ac:dyDescent="0.25">
      <c r="M27" s="26"/>
      <c r="N27" s="26"/>
    </row>
    <row r="28" spans="1:16" x14ac:dyDescent="0.25">
      <c r="M28" s="26"/>
      <c r="N28" s="26"/>
    </row>
    <row r="29" spans="1:16" x14ac:dyDescent="0.25">
      <c r="M29" s="26"/>
      <c r="N29" s="26"/>
    </row>
    <row r="30" spans="1:16" x14ac:dyDescent="0.25">
      <c r="M30" s="26"/>
      <c r="N30" s="26"/>
    </row>
    <row r="31" spans="1:16" x14ac:dyDescent="0.25">
      <c r="M31" s="26"/>
      <c r="N31" s="26"/>
    </row>
    <row r="32" spans="1:16" x14ac:dyDescent="0.25">
      <c r="M32" s="26"/>
      <c r="N32" s="26"/>
    </row>
    <row r="33" spans="13:14" x14ac:dyDescent="0.25">
      <c r="M33" s="26"/>
      <c r="N33" s="26"/>
    </row>
    <row r="34" spans="13:14" x14ac:dyDescent="0.25">
      <c r="M34" s="26"/>
      <c r="N34" s="26"/>
    </row>
    <row r="35" spans="13:14" x14ac:dyDescent="0.25">
      <c r="M35" s="26"/>
      <c r="N35" s="26"/>
    </row>
    <row r="36" spans="13:14" x14ac:dyDescent="0.25">
      <c r="M36" s="26"/>
      <c r="N36" s="26"/>
    </row>
    <row r="37" spans="13:14" x14ac:dyDescent="0.25">
      <c r="M37" s="26"/>
      <c r="N37" s="26"/>
    </row>
    <row r="38" spans="13:14" x14ac:dyDescent="0.25">
      <c r="M38" s="26"/>
      <c r="N38" s="26"/>
    </row>
    <row r="39" spans="13:14" x14ac:dyDescent="0.25">
      <c r="M39" s="26"/>
      <c r="N39" s="26"/>
    </row>
    <row r="40" spans="13:14" x14ac:dyDescent="0.25">
      <c r="M40" s="26"/>
      <c r="N40" s="26"/>
    </row>
    <row r="41" spans="13:14" x14ac:dyDescent="0.25">
      <c r="M41" s="26"/>
      <c r="N41" s="26"/>
    </row>
    <row r="42" spans="13:14" x14ac:dyDescent="0.25">
      <c r="M42" s="26"/>
      <c r="N42" s="26"/>
    </row>
    <row r="43" spans="13:14" x14ac:dyDescent="0.25">
      <c r="M43" s="26"/>
      <c r="N43" s="26"/>
    </row>
    <row r="44" spans="13:14" x14ac:dyDescent="0.25">
      <c r="M44" s="26"/>
      <c r="N44" s="26"/>
    </row>
    <row r="45" spans="13:14" x14ac:dyDescent="0.25">
      <c r="M45" s="26"/>
      <c r="N45" s="26"/>
    </row>
    <row r="46" spans="13:14" x14ac:dyDescent="0.25">
      <c r="M46" s="26"/>
      <c r="N46" s="26"/>
    </row>
    <row r="47" spans="13:14" x14ac:dyDescent="0.25">
      <c r="M47" s="26"/>
      <c r="N47" s="26"/>
    </row>
    <row r="48" spans="13:14" x14ac:dyDescent="0.25">
      <c r="M48" s="26"/>
      <c r="N48" s="26"/>
    </row>
    <row r="49" spans="13:14" x14ac:dyDescent="0.25">
      <c r="M49" s="26"/>
      <c r="N49" s="26"/>
    </row>
    <row r="50" spans="13:14" x14ac:dyDescent="0.25">
      <c r="M50" s="26"/>
      <c r="N50" s="26"/>
    </row>
    <row r="51" spans="13:14" x14ac:dyDescent="0.25">
      <c r="M51" s="26"/>
      <c r="N51" s="26"/>
    </row>
    <row r="52" spans="13:14" x14ac:dyDescent="0.25">
      <c r="M52" s="26"/>
      <c r="N52" s="26"/>
    </row>
    <row r="53" spans="13:14" x14ac:dyDescent="0.25">
      <c r="M53" s="26"/>
      <c r="N53" s="26"/>
    </row>
    <row r="54" spans="13:14" x14ac:dyDescent="0.25">
      <c r="M54" s="26"/>
      <c r="N54" s="26"/>
    </row>
    <row r="55" spans="13:14" x14ac:dyDescent="0.25">
      <c r="M55" s="26"/>
      <c r="N55" s="26"/>
    </row>
    <row r="56" spans="13:14" x14ac:dyDescent="0.25">
      <c r="M56" s="26"/>
      <c r="N56" s="26"/>
    </row>
    <row r="57" spans="13:14" x14ac:dyDescent="0.25">
      <c r="M57" s="26"/>
      <c r="N57" s="26"/>
    </row>
    <row r="58" spans="13:14" x14ac:dyDescent="0.25">
      <c r="M58" s="26"/>
      <c r="N58" s="26"/>
    </row>
    <row r="59" spans="13:14" x14ac:dyDescent="0.25">
      <c r="M59" s="26"/>
      <c r="N59" s="26"/>
    </row>
    <row r="60" spans="13:14" x14ac:dyDescent="0.25">
      <c r="M60" s="26"/>
      <c r="N60" s="26"/>
    </row>
    <row r="61" spans="13:14" x14ac:dyDescent="0.25">
      <c r="M61" s="26"/>
      <c r="N61" s="26"/>
    </row>
    <row r="62" spans="13:14" x14ac:dyDescent="0.25">
      <c r="M62" s="26"/>
      <c r="N62" s="26"/>
    </row>
    <row r="63" spans="13:14" x14ac:dyDescent="0.25">
      <c r="M63" s="26"/>
      <c r="N63" s="26"/>
    </row>
    <row r="64" spans="13:14" x14ac:dyDescent="0.25">
      <c r="M64" s="26"/>
      <c r="N64" s="26"/>
    </row>
    <row r="65" spans="13:14" x14ac:dyDescent="0.25">
      <c r="M65" s="26"/>
      <c r="N65" s="26"/>
    </row>
    <row r="66" spans="13:14" x14ac:dyDescent="0.25">
      <c r="M66" s="26"/>
      <c r="N66" s="26"/>
    </row>
    <row r="67" spans="13:14" x14ac:dyDescent="0.25">
      <c r="M67" s="26"/>
      <c r="N67" s="26"/>
    </row>
    <row r="68" spans="13:14" x14ac:dyDescent="0.25">
      <c r="M68" s="26"/>
      <c r="N68" s="26"/>
    </row>
    <row r="69" spans="13:14" x14ac:dyDescent="0.25">
      <c r="M69" s="26"/>
      <c r="N69" s="26"/>
    </row>
    <row r="70" spans="13:14" x14ac:dyDescent="0.25">
      <c r="M70" s="26"/>
      <c r="N70" s="26"/>
    </row>
    <row r="71" spans="13:14" x14ac:dyDescent="0.25">
      <c r="M71" s="26"/>
      <c r="N71" s="26"/>
    </row>
    <row r="72" spans="13:14" x14ac:dyDescent="0.25">
      <c r="M72" s="26"/>
      <c r="N72" s="26"/>
    </row>
    <row r="73" spans="13:14" x14ac:dyDescent="0.25">
      <c r="M73" s="26"/>
      <c r="N73" s="26"/>
    </row>
    <row r="74" spans="13:14" x14ac:dyDescent="0.25">
      <c r="M74" s="26"/>
      <c r="N74" s="26"/>
    </row>
    <row r="75" spans="13:14" x14ac:dyDescent="0.25">
      <c r="M75" s="26"/>
      <c r="N75" s="26"/>
    </row>
    <row r="76" spans="13:14" x14ac:dyDescent="0.25">
      <c r="M76" s="26"/>
      <c r="N76" s="26"/>
    </row>
    <row r="77" spans="13:14" x14ac:dyDescent="0.25">
      <c r="M77" s="26"/>
      <c r="N77" s="26"/>
    </row>
    <row r="78" spans="13:14" x14ac:dyDescent="0.25">
      <c r="M78" s="26"/>
      <c r="N78" s="26"/>
    </row>
    <row r="79" spans="13:14" x14ac:dyDescent="0.25">
      <c r="M79" s="26"/>
      <c r="N79" s="26"/>
    </row>
    <row r="80" spans="13:14" x14ac:dyDescent="0.25">
      <c r="M80" s="26"/>
      <c r="N80" s="26"/>
    </row>
    <row r="81" spans="13:14" x14ac:dyDescent="0.25">
      <c r="M81" s="26"/>
      <c r="N81" s="26"/>
    </row>
    <row r="82" spans="13:14" x14ac:dyDescent="0.25">
      <c r="M82" s="26"/>
      <c r="N82" s="26"/>
    </row>
    <row r="83" spans="13:14" x14ac:dyDescent="0.25">
      <c r="M83" s="26"/>
      <c r="N83" s="26"/>
    </row>
    <row r="84" spans="13:14" x14ac:dyDescent="0.25">
      <c r="M84" s="26"/>
      <c r="N84" s="26"/>
    </row>
    <row r="85" spans="13:14" x14ac:dyDescent="0.25">
      <c r="M85" s="26"/>
      <c r="N85" s="26"/>
    </row>
    <row r="86" spans="13:14" x14ac:dyDescent="0.25">
      <c r="M86" s="26"/>
      <c r="N86" s="26"/>
    </row>
    <row r="87" spans="13:14" x14ac:dyDescent="0.25">
      <c r="M87" s="26"/>
      <c r="N87" s="26"/>
    </row>
    <row r="88" spans="13:14" x14ac:dyDescent="0.25">
      <c r="M88" s="26"/>
      <c r="N88" s="26"/>
    </row>
    <row r="89" spans="13:14" x14ac:dyDescent="0.25">
      <c r="M89" s="26"/>
      <c r="N89" s="26"/>
    </row>
    <row r="90" spans="13:14" x14ac:dyDescent="0.25">
      <c r="M90" s="26"/>
      <c r="N90" s="26"/>
    </row>
    <row r="91" spans="13:14" x14ac:dyDescent="0.25">
      <c r="M91" s="26"/>
      <c r="N91" s="26"/>
    </row>
    <row r="92" spans="13:14" x14ac:dyDescent="0.25">
      <c r="M92" s="26"/>
      <c r="N92" s="26"/>
    </row>
    <row r="93" spans="13:14" x14ac:dyDescent="0.25">
      <c r="M93" s="26"/>
      <c r="N93" s="26"/>
    </row>
    <row r="94" spans="13:14" x14ac:dyDescent="0.25">
      <c r="M94" s="26"/>
      <c r="N94" s="26"/>
    </row>
    <row r="95" spans="13:14" x14ac:dyDescent="0.25">
      <c r="M95" s="26"/>
      <c r="N95" s="26"/>
    </row>
    <row r="96" spans="13:14" x14ac:dyDescent="0.25">
      <c r="M96" s="26"/>
      <c r="N96" s="26"/>
    </row>
    <row r="97" spans="13:14" x14ac:dyDescent="0.25">
      <c r="M97" s="26"/>
      <c r="N97" s="26"/>
    </row>
    <row r="98" spans="13:14" x14ac:dyDescent="0.25">
      <c r="M98" s="26"/>
      <c r="N98" s="26"/>
    </row>
    <row r="99" spans="13:14" x14ac:dyDescent="0.25">
      <c r="M99" s="26"/>
      <c r="N99" s="26"/>
    </row>
  </sheetData>
  <sortState xmlns:xlrd2="http://schemas.microsoft.com/office/spreadsheetml/2017/richdata2" ref="A3:P8">
    <sortCondition ref="E3:E8" customList="Weekday,Wk,Saturday,Sat,Sunday,Sun,Sunday/Holiday,Sunday / Holiday,Reduced"/>
    <sortCondition ref="C3:C8"/>
  </sortState>
  <mergeCells count="3">
    <mergeCell ref="A1:O1"/>
    <mergeCell ref="E14:K14"/>
    <mergeCell ref="E20:K20"/>
  </mergeCells>
  <conditionalFormatting sqref="L11">
    <cfRule type="cellIs" dxfId="23" priority="1" operator="between">
      <formula>1.35</formula>
      <formula>1.6</formula>
    </cfRule>
    <cfRule type="cellIs" dxfId="22" priority="2" operator="between">
      <formula>1.2</formula>
      <formula>1.35</formula>
    </cfRule>
    <cfRule type="cellIs" dxfId="21" priority="3" operator="greaterThan">
      <formula>1.6</formula>
    </cfRule>
  </conditionalFormatting>
  <conditionalFormatting sqref="N3:N8">
    <cfRule type="cellIs" dxfId="20" priority="8" operator="lessThan">
      <formula>0.4</formula>
    </cfRule>
    <cfRule type="cellIs" dxfId="19" priority="9" operator="between">
      <formula>0.65</formula>
      <formula>0.4</formula>
    </cfRule>
    <cfRule type="cellIs" dxfId="18" priority="10" operator="between">
      <formula>0.8</formula>
      <formula>0.65</formula>
    </cfRule>
  </conditionalFormatting>
  <conditionalFormatting sqref="O3:O8">
    <cfRule type="cellIs" dxfId="17" priority="34" operator="lessThan">
      <formula>$G$19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151C5-C99A-4EE2-AB84-D695D8BC4C22}">
  <dimension ref="A1:O13"/>
  <sheetViews>
    <sheetView workbookViewId="0">
      <selection activeCell="I19" sqref="I19"/>
    </sheetView>
  </sheetViews>
  <sheetFormatPr defaultRowHeight="15" x14ac:dyDescent="0.25"/>
  <cols>
    <col min="1" max="1" width="26.28515625" customWidth="1"/>
    <col min="2" max="2" width="9.5703125" customWidth="1"/>
    <col min="3" max="3" width="9.5703125" bestFit="1" customWidth="1"/>
    <col min="4" max="4" width="14.28515625" customWidth="1"/>
    <col min="5" max="5" width="10.7109375" customWidth="1"/>
    <col min="6" max="6" width="15.28515625" customWidth="1"/>
    <col min="7" max="7" width="15.28515625" bestFit="1" customWidth="1"/>
    <col min="8" max="8" width="13.7109375" bestFit="1" customWidth="1"/>
    <col min="9" max="9" width="11.7109375" customWidth="1"/>
    <col min="10" max="10" width="12.85546875" customWidth="1"/>
    <col min="11" max="11" width="11.7109375" customWidth="1"/>
    <col min="12" max="13" width="14.140625" customWidth="1"/>
    <col min="14" max="14" width="12.85546875" customWidth="1"/>
    <col min="15" max="15" width="35.7109375" customWidth="1"/>
  </cols>
  <sheetData>
    <row r="1" spans="1:15" ht="38.25" thickTop="1" thickBot="1" x14ac:dyDescent="0.75">
      <c r="A1" s="477" t="s">
        <v>160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129"/>
    </row>
    <row r="2" spans="1:15" s="4" customFormat="1" ht="45.75" thickBot="1" x14ac:dyDescent="0.3">
      <c r="A2" s="130" t="s">
        <v>7</v>
      </c>
      <c r="B2" s="24" t="s">
        <v>49</v>
      </c>
      <c r="C2" s="18" t="s">
        <v>50</v>
      </c>
      <c r="D2" s="18" t="s">
        <v>0</v>
      </c>
      <c r="E2" s="459" t="s">
        <v>1</v>
      </c>
      <c r="F2" s="19" t="s">
        <v>2</v>
      </c>
      <c r="G2" s="19" t="s">
        <v>27</v>
      </c>
      <c r="H2" s="20" t="s">
        <v>29</v>
      </c>
      <c r="I2" s="20" t="s">
        <v>30</v>
      </c>
      <c r="J2" s="21" t="s">
        <v>28</v>
      </c>
      <c r="K2" s="22" t="s">
        <v>11</v>
      </c>
      <c r="L2" s="22" t="s">
        <v>48</v>
      </c>
      <c r="M2" s="79" t="s">
        <v>69</v>
      </c>
      <c r="N2" s="25" t="s">
        <v>31</v>
      </c>
      <c r="O2" s="131" t="s">
        <v>32</v>
      </c>
    </row>
    <row r="3" spans="1:15" ht="15.75" thickBot="1" x14ac:dyDescent="0.3">
      <c r="A3" s="141" t="s">
        <v>130</v>
      </c>
      <c r="B3" s="142"/>
      <c r="C3" s="142"/>
      <c r="D3" s="143"/>
      <c r="E3" s="138"/>
      <c r="F3" s="143"/>
      <c r="G3" s="143"/>
      <c r="H3" s="143"/>
      <c r="I3" s="143"/>
      <c r="J3" s="143"/>
      <c r="K3" s="143"/>
      <c r="L3" s="143"/>
      <c r="M3" s="143"/>
      <c r="N3" s="143"/>
      <c r="O3" s="460"/>
    </row>
    <row r="4" spans="1:15" ht="27.75" thickBot="1" x14ac:dyDescent="0.55000000000000004">
      <c r="A4" s="434" t="s">
        <v>141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61"/>
    </row>
    <row r="5" spans="1:15" ht="15.75" thickBot="1" x14ac:dyDescent="0.3">
      <c r="A5" s="448" t="s">
        <v>77</v>
      </c>
      <c r="B5" s="463">
        <v>888</v>
      </c>
      <c r="C5" s="463" t="s">
        <v>99</v>
      </c>
      <c r="D5" s="463" t="s">
        <v>19</v>
      </c>
      <c r="E5" s="463" t="s">
        <v>158</v>
      </c>
      <c r="F5" s="464">
        <v>18752019.000000022</v>
      </c>
      <c r="G5" s="464">
        <v>392587.99999999953</v>
      </c>
      <c r="H5" s="463">
        <v>121750</v>
      </c>
      <c r="I5" s="463">
        <v>1805.45</v>
      </c>
      <c r="J5" s="465">
        <f>F5-G5</f>
        <v>18359431.000000022</v>
      </c>
      <c r="K5" s="466">
        <f>J5/H5</f>
        <v>150.79614784394269</v>
      </c>
      <c r="L5" s="467">
        <v>1</v>
      </c>
      <c r="M5" s="468">
        <f>(G5/F5)</f>
        <v>2.0935772302705061E-2</v>
      </c>
      <c r="N5" s="456">
        <f>H5/I5</f>
        <v>67.434711567753183</v>
      </c>
      <c r="O5" s="469" t="s">
        <v>159</v>
      </c>
    </row>
    <row r="6" spans="1:15" ht="27.75" thickBot="1" x14ac:dyDescent="0.55000000000000004">
      <c r="A6" s="434" t="s">
        <v>144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61"/>
    </row>
    <row r="7" spans="1:15" ht="15.75" thickBot="1" x14ac:dyDescent="0.3">
      <c r="A7" s="448" t="s">
        <v>130</v>
      </c>
      <c r="B7" s="449"/>
      <c r="C7" s="449"/>
      <c r="D7" s="449"/>
      <c r="E7" s="450"/>
      <c r="F7" s="451"/>
      <c r="G7" s="451"/>
      <c r="H7" s="452"/>
      <c r="I7" s="453"/>
      <c r="J7" s="454"/>
      <c r="K7" s="455"/>
      <c r="L7" s="450"/>
      <c r="M7" s="450"/>
      <c r="N7" s="450"/>
      <c r="O7" s="462"/>
    </row>
    <row r="8" spans="1:15" ht="15.75" thickBot="1" x14ac:dyDescent="0.3">
      <c r="A8" s="98"/>
      <c r="B8" s="96"/>
      <c r="C8" s="96"/>
      <c r="D8" s="96"/>
      <c r="E8" s="99"/>
      <c r="F8" s="150"/>
      <c r="G8" s="150"/>
      <c r="H8" s="151"/>
      <c r="I8" s="458"/>
      <c r="J8" s="109"/>
      <c r="K8" s="123"/>
      <c r="L8" s="124"/>
      <c r="M8" s="99"/>
      <c r="N8" s="99"/>
      <c r="O8" s="122"/>
    </row>
    <row r="9" spans="1:15" ht="36" x14ac:dyDescent="0.25">
      <c r="A9" s="12"/>
      <c r="B9" s="12"/>
      <c r="C9" s="12"/>
      <c r="D9" s="12"/>
      <c r="E9" s="12"/>
      <c r="F9" s="27" t="s">
        <v>41</v>
      </c>
      <c r="G9" s="41" t="s">
        <v>33</v>
      </c>
      <c r="H9" s="42" t="s">
        <v>34</v>
      </c>
      <c r="I9" s="42" t="s">
        <v>35</v>
      </c>
      <c r="J9" s="42" t="s">
        <v>36</v>
      </c>
      <c r="K9" s="43" t="s">
        <v>37</v>
      </c>
      <c r="L9" s="30" t="s">
        <v>40</v>
      </c>
      <c r="M9" s="35"/>
      <c r="N9" s="12"/>
      <c r="O9" s="12"/>
    </row>
    <row r="10" spans="1:15" x14ac:dyDescent="0.25">
      <c r="A10" s="12"/>
      <c r="B10" s="12"/>
      <c r="C10" s="12"/>
      <c r="D10" s="12"/>
      <c r="E10" s="12"/>
      <c r="F10" s="31">
        <f>COUNTIF($E$3:$E$3, "Weekdays")</f>
        <v>0</v>
      </c>
      <c r="G10" s="47" t="s">
        <v>158</v>
      </c>
      <c r="H10" s="48">
        <f>AVERAGEIF($E$5,"All days",K5)</f>
        <v>150.79614784394269</v>
      </c>
      <c r="I10" s="49">
        <f>H10*1.2</f>
        <v>180.95537741273122</v>
      </c>
      <c r="J10" s="50">
        <f>H10*1.35</f>
        <v>203.57479958932265</v>
      </c>
      <c r="K10" s="51">
        <f>H10*1.6</f>
        <v>241.27383655030832</v>
      </c>
      <c r="L10" s="33">
        <f>+J5/H5</f>
        <v>150.79614784394269</v>
      </c>
      <c r="M10" s="35"/>
      <c r="N10" s="12"/>
      <c r="O10" s="12"/>
    </row>
    <row r="11" spans="1:15" x14ac:dyDescent="0.25">
      <c r="F11" s="31">
        <f>COUNTIF($E$3:$E$3, "Saturdays")</f>
        <v>0</v>
      </c>
      <c r="G11" s="47" t="s">
        <v>43</v>
      </c>
      <c r="H11" s="48" t="e">
        <f>AVERAGEIF($E$3:$E$4,"Saturdays",K3:K4)</f>
        <v>#DIV/0!</v>
      </c>
      <c r="I11" s="49" t="e">
        <f>H11*1.2</f>
        <v>#DIV/0!</v>
      </c>
      <c r="J11" s="50" t="e">
        <f>H11*1.35</f>
        <v>#DIV/0!</v>
      </c>
      <c r="K11" s="51" t="e">
        <f>H11*1.6</f>
        <v>#DIV/0!</v>
      </c>
      <c r="L11" s="33" t="e">
        <f>+SUMIF($E$3:$E$4,"saturdays",$J$3:$J$4)/SUMIF($E$3:$E$4,"saturdays",$H$3:$H$4)</f>
        <v>#DIV/0!</v>
      </c>
    </row>
    <row r="12" spans="1:15" ht="15.75" thickBot="1" x14ac:dyDescent="0.3">
      <c r="F12" s="36">
        <f>COUNTIF($E$3, "Sundays")</f>
        <v>0</v>
      </c>
      <c r="G12" s="56" t="s">
        <v>44</v>
      </c>
      <c r="H12" s="57" t="e">
        <f>AVERAGEIF($E$3:$E$4,"Sundays",K3:K4)</f>
        <v>#DIV/0!</v>
      </c>
      <c r="I12" s="58" t="e">
        <f>H12*1.2</f>
        <v>#DIV/0!</v>
      </c>
      <c r="J12" s="59" t="e">
        <f>H12*1.35</f>
        <v>#DIV/0!</v>
      </c>
      <c r="K12" s="60" t="e">
        <f>H12*1.6</f>
        <v>#DIV/0!</v>
      </c>
      <c r="L12" s="40" t="e">
        <f>+SUMIF($E$3:$E$4,"Sundays",$J$3:$J$4)/SUMIF($E$3:$E$4,"Sundays",$H$3:$H$4)</f>
        <v>#DIV/0!</v>
      </c>
    </row>
    <row r="13" spans="1:15" ht="15.75" thickBot="1" x14ac:dyDescent="0.3">
      <c r="F13" s="12"/>
      <c r="G13" s="53" t="s">
        <v>39</v>
      </c>
      <c r="H13" s="37">
        <v>70</v>
      </c>
      <c r="I13" s="38"/>
      <c r="J13" s="38"/>
      <c r="K13" s="39"/>
      <c r="L13" s="40" t="e">
        <f>+SUM($J$3:$J$4)/SUM($H$3:$H$4)</f>
        <v>#DIV/0!</v>
      </c>
    </row>
  </sheetData>
  <mergeCells count="1">
    <mergeCell ref="A1:N1"/>
  </mergeCells>
  <conditionalFormatting sqref="L6">
    <cfRule type="cellIs" dxfId="16" priority="3" operator="between">
      <formula>1.35</formula>
      <formula>1.6</formula>
    </cfRule>
    <cfRule type="cellIs" dxfId="15" priority="4" operator="between">
      <formula>1.2</formula>
      <formula>1.35</formula>
    </cfRule>
    <cfRule type="cellIs" dxfId="14" priority="5" operator="greaterThan">
      <formula>1.6</formula>
    </cfRule>
  </conditionalFormatting>
  <conditionalFormatting sqref="N5">
    <cfRule type="cellIs" dxfId="13" priority="72" operator="lessThan">
      <formula>$H$13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36E6-FDBF-4BB8-A6F8-7E72BCBE2BBB}">
  <sheetPr>
    <pageSetUpPr autoPageBreaks="0"/>
  </sheetPr>
  <dimension ref="A1:P106"/>
  <sheetViews>
    <sheetView zoomScaleNormal="100" workbookViewId="0">
      <pane ySplit="2" topLeftCell="A3" activePane="bottomLeft" state="frozen"/>
      <selection pane="bottomLeft" activeCell="C23" sqref="C23"/>
    </sheetView>
  </sheetViews>
  <sheetFormatPr defaultRowHeight="15" x14ac:dyDescent="0.25"/>
  <cols>
    <col min="1" max="1" width="20.7109375" customWidth="1"/>
    <col min="2" max="2" width="9.7109375" customWidth="1"/>
    <col min="3" max="3" width="14" customWidth="1"/>
    <col min="4" max="4" width="13.7109375" customWidth="1"/>
    <col min="5" max="5" width="13.28515625" customWidth="1"/>
    <col min="6" max="8" width="12.42578125" customWidth="1"/>
    <col min="9" max="11" width="11.7109375" customWidth="1"/>
    <col min="12" max="12" width="14.28515625" bestFit="1" customWidth="1"/>
    <col min="13" max="14" width="14.140625" customWidth="1"/>
    <col min="15" max="15" width="13" customWidth="1"/>
    <col min="16" max="16" width="44.7109375" style="4" customWidth="1"/>
  </cols>
  <sheetData>
    <row r="1" spans="1:16" ht="37.5" thickBot="1" x14ac:dyDescent="0.75">
      <c r="A1" s="470" t="s">
        <v>84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</row>
    <row r="2" spans="1:16" s="4" customFormat="1" ht="60.75" thickBot="1" x14ac:dyDescent="0.3">
      <c r="A2" s="152" t="s">
        <v>7</v>
      </c>
      <c r="B2" s="349" t="s">
        <v>115</v>
      </c>
      <c r="C2" s="153" t="s">
        <v>116</v>
      </c>
      <c r="D2" s="154" t="s">
        <v>0</v>
      </c>
      <c r="E2" s="154" t="s">
        <v>57</v>
      </c>
      <c r="F2" s="155" t="s">
        <v>2</v>
      </c>
      <c r="G2" s="155" t="s">
        <v>27</v>
      </c>
      <c r="H2" s="155" t="s">
        <v>29</v>
      </c>
      <c r="I2" s="156" t="s">
        <v>56</v>
      </c>
      <c r="J2" s="156" t="s">
        <v>28</v>
      </c>
      <c r="K2" s="157" t="s">
        <v>11</v>
      </c>
      <c r="L2" s="158" t="s">
        <v>48</v>
      </c>
      <c r="M2" s="159" t="s">
        <v>69</v>
      </c>
      <c r="N2" s="159" t="s">
        <v>71</v>
      </c>
      <c r="O2" s="158" t="s">
        <v>31</v>
      </c>
      <c r="P2" s="160" t="s">
        <v>32</v>
      </c>
    </row>
    <row r="3" spans="1:16" ht="15.75" x14ac:dyDescent="0.25">
      <c r="A3" s="161" t="s">
        <v>101</v>
      </c>
      <c r="B3" s="162" t="s">
        <v>102</v>
      </c>
      <c r="C3" s="350" t="s">
        <v>75</v>
      </c>
      <c r="D3" s="162" t="s">
        <v>58</v>
      </c>
      <c r="E3" s="162" t="s">
        <v>23</v>
      </c>
      <c r="F3" s="255">
        <v>2170160</v>
      </c>
      <c r="G3" s="255">
        <v>85892</v>
      </c>
      <c r="H3" s="309">
        <v>42323</v>
      </c>
      <c r="I3" s="351">
        <v>20796</v>
      </c>
      <c r="J3" s="255">
        <f t="shared" ref="J3:J18" si="0">+F3-G3</f>
        <v>2084268</v>
      </c>
      <c r="K3" s="165">
        <f t="shared" ref="K3:K18" si="1">J3/H3</f>
        <v>49.246698012900787</v>
      </c>
      <c r="L3" s="167">
        <f t="shared" ref="L3:L18" si="2">+IF(E3="Weekdays",K3/$G$37,IF(E3="Saturdays",K3/$G$38,IF(E3="Sundays",K3/$G$39,"NA")))</f>
        <v>0.87201287210791023</v>
      </c>
      <c r="M3" s="166">
        <f t="shared" ref="M3:M18" si="3">G3/F3</f>
        <v>3.9578648578906625E-2</v>
      </c>
      <c r="N3" s="166">
        <f t="shared" ref="N3:N18" si="4">+IF(E3="Weekdays",M3/$G$43,IF(E3="Saturdays",M3/$G$44,IF(E3="Sundays",M3/$G$45,"NA")))</f>
        <v>1.2754017526351011</v>
      </c>
      <c r="O3" s="168">
        <f t="shared" ref="O3:O18" si="5">ROUND(H3/I3,1)</f>
        <v>2</v>
      </c>
      <c r="P3" s="193"/>
    </row>
    <row r="4" spans="1:16" ht="15.75" x14ac:dyDescent="0.25">
      <c r="A4" s="170" t="s">
        <v>101</v>
      </c>
      <c r="B4" s="172" t="s">
        <v>102</v>
      </c>
      <c r="C4" s="352" t="s">
        <v>75</v>
      </c>
      <c r="D4" s="172" t="s">
        <v>58</v>
      </c>
      <c r="E4" s="181" t="s">
        <v>43</v>
      </c>
      <c r="F4" s="261">
        <v>95276</v>
      </c>
      <c r="G4" s="353">
        <v>4213</v>
      </c>
      <c r="H4" s="354">
        <v>2076</v>
      </c>
      <c r="I4" s="355">
        <v>913</v>
      </c>
      <c r="J4" s="356">
        <f t="shared" si="0"/>
        <v>91063</v>
      </c>
      <c r="K4" s="175">
        <f t="shared" si="1"/>
        <v>43.864643545279385</v>
      </c>
      <c r="L4" s="177">
        <f t="shared" si="2"/>
        <v>0.81091676421774628</v>
      </c>
      <c r="M4" s="176">
        <f t="shared" si="3"/>
        <v>4.4218900877450777E-2</v>
      </c>
      <c r="N4" s="176">
        <f t="shared" si="4"/>
        <v>1.3701519755707683</v>
      </c>
      <c r="O4" s="178">
        <f t="shared" si="5"/>
        <v>2.2999999999999998</v>
      </c>
      <c r="P4" s="357"/>
    </row>
    <row r="5" spans="1:16" ht="15.75" x14ac:dyDescent="0.25">
      <c r="A5" s="170" t="s">
        <v>77</v>
      </c>
      <c r="B5" s="172" t="s">
        <v>74</v>
      </c>
      <c r="C5" s="352" t="s">
        <v>136</v>
      </c>
      <c r="D5" s="172" t="s">
        <v>58</v>
      </c>
      <c r="E5" s="181" t="s">
        <v>23</v>
      </c>
      <c r="F5" s="261">
        <v>1609821.5801100309</v>
      </c>
      <c r="G5" s="353">
        <v>14870.377758773631</v>
      </c>
      <c r="H5" s="354">
        <v>84632</v>
      </c>
      <c r="I5" s="355">
        <v>13923.817765385382</v>
      </c>
      <c r="J5" s="356">
        <f t="shared" ref="J5:J7" si="6">+F5-G5</f>
        <v>1594951.2023512572</v>
      </c>
      <c r="K5" s="175">
        <f t="shared" ref="K5:K7" si="7">J5/H5</f>
        <v>18.845722685878357</v>
      </c>
      <c r="L5" s="177">
        <f t="shared" si="2"/>
        <v>0.33370182021050365</v>
      </c>
      <c r="M5" s="176">
        <f t="shared" ref="M5:M7" si="8">G5/F5</f>
        <v>9.2372831514392073E-3</v>
      </c>
      <c r="N5" s="176">
        <f t="shared" si="4"/>
        <v>0.2976667355744696</v>
      </c>
      <c r="O5" s="178">
        <f t="shared" ref="O5:O7" si="9">ROUND(H5/I5,1)</f>
        <v>6.1</v>
      </c>
      <c r="P5" s="357"/>
    </row>
    <row r="6" spans="1:16" ht="15.75" x14ac:dyDescent="0.25">
      <c r="A6" s="170" t="s">
        <v>77</v>
      </c>
      <c r="B6" s="172" t="s">
        <v>74</v>
      </c>
      <c r="C6" s="352" t="s">
        <v>136</v>
      </c>
      <c r="D6" s="172" t="s">
        <v>58</v>
      </c>
      <c r="E6" s="181" t="s">
        <v>43</v>
      </c>
      <c r="F6" s="261">
        <v>232116.4709892032</v>
      </c>
      <c r="G6" s="353">
        <v>2283.1279964730193</v>
      </c>
      <c r="H6" s="354">
        <v>12994</v>
      </c>
      <c r="I6" s="355">
        <v>2007.6432583150768</v>
      </c>
      <c r="J6" s="356">
        <f t="shared" si="6"/>
        <v>229833.34299273018</v>
      </c>
      <c r="K6" s="175">
        <f t="shared" si="7"/>
        <v>17.687651453957994</v>
      </c>
      <c r="L6" s="177">
        <f t="shared" si="2"/>
        <v>0.32698802325497334</v>
      </c>
      <c r="M6" s="176">
        <f t="shared" si="8"/>
        <v>9.8361309162727107E-3</v>
      </c>
      <c r="N6" s="176">
        <f t="shared" si="4"/>
        <v>0.30477904107689607</v>
      </c>
      <c r="O6" s="178">
        <f t="shared" si="9"/>
        <v>6.5</v>
      </c>
      <c r="P6" s="357"/>
    </row>
    <row r="7" spans="1:16" ht="15.75" x14ac:dyDescent="0.25">
      <c r="A7" s="170" t="s">
        <v>77</v>
      </c>
      <c r="B7" s="172" t="s">
        <v>74</v>
      </c>
      <c r="C7" s="352" t="s">
        <v>136</v>
      </c>
      <c r="D7" s="172" t="s">
        <v>58</v>
      </c>
      <c r="E7" s="181" t="s">
        <v>44</v>
      </c>
      <c r="F7" s="261">
        <v>249857.12828867382</v>
      </c>
      <c r="G7" s="353">
        <v>2441.4393959514086</v>
      </c>
      <c r="H7" s="354">
        <v>13895</v>
      </c>
      <c r="I7" s="355">
        <v>2161.0873929496115</v>
      </c>
      <c r="J7" s="356">
        <f t="shared" si="6"/>
        <v>247415.68889272242</v>
      </c>
      <c r="K7" s="175">
        <f t="shared" si="7"/>
        <v>17.806094918511867</v>
      </c>
      <c r="L7" s="177">
        <f t="shared" si="2"/>
        <v>0.29701742173212686</v>
      </c>
      <c r="M7" s="176">
        <f t="shared" si="8"/>
        <v>9.7713417770922198E-3</v>
      </c>
      <c r="N7" s="176">
        <f t="shared" si="4"/>
        <v>0.37709497059833197</v>
      </c>
      <c r="O7" s="178">
        <f t="shared" si="9"/>
        <v>6.4</v>
      </c>
      <c r="P7" s="357"/>
    </row>
    <row r="8" spans="1:16" x14ac:dyDescent="0.25">
      <c r="A8" s="170" t="s">
        <v>45</v>
      </c>
      <c r="B8" s="172" t="s">
        <v>59</v>
      </c>
      <c r="C8" s="358" t="s">
        <v>75</v>
      </c>
      <c r="D8" s="172" t="s">
        <v>58</v>
      </c>
      <c r="E8" s="172" t="s">
        <v>23</v>
      </c>
      <c r="F8" s="261">
        <v>1483853.6733659855</v>
      </c>
      <c r="G8" s="261">
        <v>96039.308675336375</v>
      </c>
      <c r="H8" s="313">
        <v>45775</v>
      </c>
      <c r="I8" s="355">
        <v>15248</v>
      </c>
      <c r="J8" s="261">
        <f t="shared" si="0"/>
        <v>1387814.3646906491</v>
      </c>
      <c r="K8" s="175">
        <f t="shared" si="1"/>
        <v>30.318172904219534</v>
      </c>
      <c r="L8" s="177">
        <f t="shared" si="2"/>
        <v>0.53684486672277965</v>
      </c>
      <c r="M8" s="176">
        <f t="shared" si="3"/>
        <v>6.4722897142195993E-2</v>
      </c>
      <c r="N8" s="176">
        <f t="shared" si="4"/>
        <v>2.08566233094608</v>
      </c>
      <c r="O8" s="178">
        <f t="shared" si="5"/>
        <v>3</v>
      </c>
      <c r="P8" s="357"/>
    </row>
    <row r="9" spans="1:16" x14ac:dyDescent="0.25">
      <c r="A9" s="170" t="s">
        <v>45</v>
      </c>
      <c r="B9" s="172" t="s">
        <v>59</v>
      </c>
      <c r="C9" s="358" t="s">
        <v>75</v>
      </c>
      <c r="D9" s="172" t="s">
        <v>58</v>
      </c>
      <c r="E9" s="172" t="s">
        <v>43</v>
      </c>
      <c r="F9" s="261">
        <v>147626.31312278332</v>
      </c>
      <c r="G9" s="261">
        <v>9554.8026797275234</v>
      </c>
      <c r="H9" s="354">
        <v>4238</v>
      </c>
      <c r="I9" s="355">
        <v>1517</v>
      </c>
      <c r="J9" s="356">
        <f t="shared" si="0"/>
        <v>138071.5104430558</v>
      </c>
      <c r="K9" s="175">
        <f t="shared" si="1"/>
        <v>32.579403124836197</v>
      </c>
      <c r="L9" s="177">
        <f t="shared" si="2"/>
        <v>0.60228881456352046</v>
      </c>
      <c r="M9" s="176">
        <f t="shared" si="3"/>
        <v>6.4722897142195993E-2</v>
      </c>
      <c r="N9" s="176">
        <f t="shared" si="4"/>
        <v>2.0054819008236708</v>
      </c>
      <c r="O9" s="178">
        <f t="shared" si="5"/>
        <v>2.8</v>
      </c>
      <c r="P9" s="357"/>
    </row>
    <row r="10" spans="1:16" x14ac:dyDescent="0.25">
      <c r="A10" s="170" t="s">
        <v>45</v>
      </c>
      <c r="B10" s="172" t="s">
        <v>59</v>
      </c>
      <c r="C10" s="358" t="s">
        <v>75</v>
      </c>
      <c r="D10" s="172" t="s">
        <v>58</v>
      </c>
      <c r="E10" s="172" t="s">
        <v>44</v>
      </c>
      <c r="F10" s="359">
        <v>97120.013511231213</v>
      </c>
      <c r="G10" s="261">
        <v>6285.8886449361025</v>
      </c>
      <c r="H10" s="354">
        <v>2768</v>
      </c>
      <c r="I10" s="355">
        <v>998</v>
      </c>
      <c r="J10" s="356">
        <f t="shared" si="0"/>
        <v>90834.124866295111</v>
      </c>
      <c r="K10" s="175">
        <f t="shared" si="1"/>
        <v>32.815796555742452</v>
      </c>
      <c r="L10" s="177">
        <f t="shared" si="2"/>
        <v>0.54738915689702605</v>
      </c>
      <c r="M10" s="176">
        <f t="shared" si="3"/>
        <v>6.4722897142195993E-2</v>
      </c>
      <c r="N10" s="176">
        <f t="shared" si="4"/>
        <v>2.4977817327087974</v>
      </c>
      <c r="O10" s="178">
        <f t="shared" si="5"/>
        <v>2.8</v>
      </c>
      <c r="P10" s="357"/>
    </row>
    <row r="11" spans="1:16" x14ac:dyDescent="0.25">
      <c r="A11" s="170" t="s">
        <v>24</v>
      </c>
      <c r="B11" s="172" t="s">
        <v>117</v>
      </c>
      <c r="C11" s="358" t="s">
        <v>75</v>
      </c>
      <c r="D11" s="172" t="s">
        <v>58</v>
      </c>
      <c r="E11" s="172" t="s">
        <v>23</v>
      </c>
      <c r="F11" s="359">
        <v>7368473.0816842038</v>
      </c>
      <c r="G11" s="261">
        <v>448868</v>
      </c>
      <c r="H11" s="354">
        <v>131720</v>
      </c>
      <c r="I11" s="355">
        <v>46778</v>
      </c>
      <c r="J11" s="356">
        <f t="shared" si="0"/>
        <v>6919605.0816842038</v>
      </c>
      <c r="K11" s="175">
        <f t="shared" si="1"/>
        <v>52.532683583997901</v>
      </c>
      <c r="L11" s="177">
        <f t="shared" si="2"/>
        <v>0.93019792473432017</v>
      </c>
      <c r="M11" s="176">
        <f t="shared" si="3"/>
        <v>6.0917369857230001E-2</v>
      </c>
      <c r="N11" s="176">
        <f t="shared" si="4"/>
        <v>1.9630311562289871</v>
      </c>
      <c r="O11" s="178">
        <f t="shared" si="5"/>
        <v>2.8</v>
      </c>
      <c r="P11" s="357"/>
    </row>
    <row r="12" spans="1:16" x14ac:dyDescent="0.25">
      <c r="A12" s="170" t="s">
        <v>24</v>
      </c>
      <c r="B12" s="172" t="s">
        <v>117</v>
      </c>
      <c r="C12" s="358" t="s">
        <v>75</v>
      </c>
      <c r="D12" s="172" t="s">
        <v>58</v>
      </c>
      <c r="E12" s="172" t="s">
        <v>43</v>
      </c>
      <c r="F12" s="359">
        <v>796576.91831579653</v>
      </c>
      <c r="G12" s="261">
        <v>49017</v>
      </c>
      <c r="H12" s="354">
        <v>14384</v>
      </c>
      <c r="I12" s="355">
        <v>5003</v>
      </c>
      <c r="J12" s="356">
        <f t="shared" si="0"/>
        <v>747559.91831579653</v>
      </c>
      <c r="K12" s="175">
        <f t="shared" si="1"/>
        <v>51.971629471342915</v>
      </c>
      <c r="L12" s="177">
        <f t="shared" si="2"/>
        <v>0.96078896796507929</v>
      </c>
      <c r="M12" s="176">
        <f t="shared" si="3"/>
        <v>6.15345472269479E-2</v>
      </c>
      <c r="N12" s="176">
        <f t="shared" si="4"/>
        <v>1.9066887637600636</v>
      </c>
      <c r="O12" s="178">
        <f t="shared" si="5"/>
        <v>2.9</v>
      </c>
      <c r="P12" s="357"/>
    </row>
    <row r="13" spans="1:16" x14ac:dyDescent="0.25">
      <c r="A13" s="170" t="s">
        <v>8</v>
      </c>
      <c r="B13" s="172" t="s">
        <v>25</v>
      </c>
      <c r="C13" s="358" t="s">
        <v>133</v>
      </c>
      <c r="D13" s="172" t="s">
        <v>58</v>
      </c>
      <c r="E13" s="172" t="s">
        <v>23</v>
      </c>
      <c r="F13" s="360">
        <v>4582314.54</v>
      </c>
      <c r="G13" s="261">
        <v>285829.82</v>
      </c>
      <c r="H13" s="354">
        <v>110968</v>
      </c>
      <c r="I13" s="355">
        <v>36074.58</v>
      </c>
      <c r="J13" s="356">
        <f t="shared" si="0"/>
        <v>4296484.72</v>
      </c>
      <c r="K13" s="175">
        <f t="shared" si="1"/>
        <v>38.718231562252178</v>
      </c>
      <c r="L13" s="177">
        <f t="shared" si="2"/>
        <v>0.6855849766555735</v>
      </c>
      <c r="M13" s="176">
        <f t="shared" si="3"/>
        <v>6.2376735054944524E-2</v>
      </c>
      <c r="N13" s="176">
        <f t="shared" si="4"/>
        <v>2.0100584549804594</v>
      </c>
      <c r="O13" s="178">
        <f t="shared" si="5"/>
        <v>3.1</v>
      </c>
      <c r="P13" s="357"/>
    </row>
    <row r="14" spans="1:16" x14ac:dyDescent="0.25">
      <c r="A14" s="170" t="s">
        <v>8</v>
      </c>
      <c r="B14" s="172" t="s">
        <v>25</v>
      </c>
      <c r="C14" s="358" t="s">
        <v>134</v>
      </c>
      <c r="D14" s="172" t="s">
        <v>58</v>
      </c>
      <c r="E14" s="172" t="s">
        <v>23</v>
      </c>
      <c r="F14" s="360">
        <v>1656793.37</v>
      </c>
      <c r="G14" s="261">
        <v>116188.56</v>
      </c>
      <c r="H14" s="354">
        <v>45108</v>
      </c>
      <c r="I14" s="355">
        <v>12822.55</v>
      </c>
      <c r="J14" s="356">
        <f t="shared" si="0"/>
        <v>1540604.81</v>
      </c>
      <c r="K14" s="175">
        <f t="shared" si="1"/>
        <v>34.153693579852799</v>
      </c>
      <c r="L14" s="177">
        <f t="shared" si="2"/>
        <v>0.60476055519212779</v>
      </c>
      <c r="M14" s="176">
        <f t="shared" si="3"/>
        <v>7.0128576142237942E-2</v>
      </c>
      <c r="N14" s="176">
        <f t="shared" si="4"/>
        <v>2.2598575780902848</v>
      </c>
      <c r="O14" s="178">
        <f t="shared" si="5"/>
        <v>3.5</v>
      </c>
      <c r="P14" s="357"/>
    </row>
    <row r="15" spans="1:16" x14ac:dyDescent="0.25">
      <c r="A15" s="170" t="s">
        <v>8</v>
      </c>
      <c r="B15" s="172" t="s">
        <v>25</v>
      </c>
      <c r="C15" s="358" t="s">
        <v>133</v>
      </c>
      <c r="D15" s="172" t="s">
        <v>58</v>
      </c>
      <c r="E15" s="172" t="s">
        <v>43</v>
      </c>
      <c r="F15" s="360">
        <v>648944.81000000006</v>
      </c>
      <c r="G15" s="261">
        <v>42088.34</v>
      </c>
      <c r="H15" s="354">
        <v>16340</v>
      </c>
      <c r="I15" s="355">
        <v>4947.71</v>
      </c>
      <c r="J15" s="356">
        <f>+F15-G15</f>
        <v>606856.47000000009</v>
      </c>
      <c r="K15" s="175">
        <f>J15/H15</f>
        <v>37.139318849449211</v>
      </c>
      <c r="L15" s="177">
        <f t="shared" si="2"/>
        <v>0.68658705126734398</v>
      </c>
      <c r="M15" s="176">
        <f>G15/F15</f>
        <v>6.4856578481612318E-2</v>
      </c>
      <c r="N15" s="176">
        <f t="shared" si="4"/>
        <v>2.0096241058008109</v>
      </c>
      <c r="O15" s="178">
        <f>ROUND(H15/I15,1)</f>
        <v>3.3</v>
      </c>
      <c r="P15" s="357"/>
    </row>
    <row r="16" spans="1:16" x14ac:dyDescent="0.25">
      <c r="A16" s="170" t="s">
        <v>8</v>
      </c>
      <c r="B16" s="172" t="s">
        <v>25</v>
      </c>
      <c r="C16" s="358" t="s">
        <v>134</v>
      </c>
      <c r="D16" s="172" t="s">
        <v>58</v>
      </c>
      <c r="E16" s="172" t="s">
        <v>43</v>
      </c>
      <c r="F16" s="360">
        <v>261796.39</v>
      </c>
      <c r="G16" s="261">
        <v>17644.13</v>
      </c>
      <c r="H16" s="354">
        <v>6850</v>
      </c>
      <c r="I16" s="355">
        <v>1931.6</v>
      </c>
      <c r="J16" s="356">
        <f t="shared" si="0"/>
        <v>244152.26</v>
      </c>
      <c r="K16" s="175">
        <f t="shared" si="1"/>
        <v>35.642665693430658</v>
      </c>
      <c r="L16" s="177">
        <f t="shared" si="2"/>
        <v>0.65891872807255869</v>
      </c>
      <c r="M16" s="176">
        <f t="shared" si="3"/>
        <v>6.7396383884437833E-2</v>
      </c>
      <c r="N16" s="176">
        <f t="shared" si="4"/>
        <v>2.0883216609456348</v>
      </c>
      <c r="O16" s="178">
        <f t="shared" si="5"/>
        <v>3.5</v>
      </c>
      <c r="P16" s="357"/>
    </row>
    <row r="17" spans="1:16" x14ac:dyDescent="0.25">
      <c r="A17" s="170" t="s">
        <v>8</v>
      </c>
      <c r="B17" s="172" t="s">
        <v>25</v>
      </c>
      <c r="C17" s="358" t="s">
        <v>133</v>
      </c>
      <c r="D17" s="172" t="s">
        <v>58</v>
      </c>
      <c r="E17" s="172" t="s">
        <v>44</v>
      </c>
      <c r="F17" s="360">
        <v>670259.36</v>
      </c>
      <c r="G17" s="261">
        <v>41220.300000000003</v>
      </c>
      <c r="H17" s="354">
        <v>16003</v>
      </c>
      <c r="I17" s="355">
        <v>5067.9399999999996</v>
      </c>
      <c r="J17" s="356">
        <f t="shared" si="0"/>
        <v>629039.05999999994</v>
      </c>
      <c r="K17" s="175">
        <f t="shared" si="1"/>
        <v>39.30757108042242</v>
      </c>
      <c r="L17" s="177">
        <f t="shared" si="2"/>
        <v>0.65567624289824422</v>
      </c>
      <c r="M17" s="176">
        <f t="shared" si="3"/>
        <v>6.1499029271295823E-2</v>
      </c>
      <c r="N17" s="176">
        <f t="shared" si="4"/>
        <v>2.3733664387068942</v>
      </c>
      <c r="O17" s="178">
        <f t="shared" si="5"/>
        <v>3.2</v>
      </c>
      <c r="P17" s="357"/>
    </row>
    <row r="18" spans="1:16" ht="15.75" thickBot="1" x14ac:dyDescent="0.3">
      <c r="A18" s="182" t="s">
        <v>8</v>
      </c>
      <c r="B18" s="184" t="s">
        <v>25</v>
      </c>
      <c r="C18" s="361" t="s">
        <v>134</v>
      </c>
      <c r="D18" s="184" t="s">
        <v>58</v>
      </c>
      <c r="E18" s="184" t="s">
        <v>44</v>
      </c>
      <c r="F18" s="268">
        <v>270435.69</v>
      </c>
      <c r="G18" s="268">
        <v>16822.46</v>
      </c>
      <c r="H18" s="317">
        <v>6531</v>
      </c>
      <c r="I18" s="362">
        <v>1944.56</v>
      </c>
      <c r="J18" s="268">
        <f t="shared" si="0"/>
        <v>253613.23</v>
      </c>
      <c r="K18" s="187">
        <f t="shared" si="1"/>
        <v>38.832220180676771</v>
      </c>
      <c r="L18" s="189">
        <f t="shared" si="2"/>
        <v>0.64774707598620462</v>
      </c>
      <c r="M18" s="188">
        <f t="shared" si="3"/>
        <v>6.2205029225247593E-2</v>
      </c>
      <c r="N18" s="188">
        <f t="shared" si="4"/>
        <v>2.400612341874667</v>
      </c>
      <c r="O18" s="190">
        <f t="shared" si="5"/>
        <v>3.4</v>
      </c>
      <c r="P18" s="198"/>
    </row>
    <row r="19" spans="1:16" ht="24.75" thickBot="1" x14ac:dyDescent="0.45">
      <c r="A19" s="423" t="s">
        <v>146</v>
      </c>
      <c r="B19" s="423"/>
      <c r="C19" s="423"/>
      <c r="D19" s="423"/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</row>
    <row r="20" spans="1:16" ht="15.75" thickBot="1" x14ac:dyDescent="0.3">
      <c r="A20" s="228" t="s">
        <v>130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26"/>
      <c r="N20" s="326"/>
      <c r="O20" s="307"/>
      <c r="P20" s="308"/>
    </row>
    <row r="21" spans="1:16" ht="24.75" thickBot="1" x14ac:dyDescent="0.45">
      <c r="A21" s="423" t="s">
        <v>147</v>
      </c>
      <c r="B21" s="423"/>
      <c r="C21" s="423"/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3"/>
      <c r="P21" s="423"/>
    </row>
    <row r="22" spans="1:16" ht="15.75" customHeight="1" x14ac:dyDescent="0.25">
      <c r="A22" s="161" t="s">
        <v>8</v>
      </c>
      <c r="B22" s="162" t="s">
        <v>25</v>
      </c>
      <c r="C22" s="398" t="s">
        <v>157</v>
      </c>
      <c r="D22" s="162" t="s">
        <v>58</v>
      </c>
      <c r="E22" s="162" t="s">
        <v>23</v>
      </c>
      <c r="F22" s="363">
        <v>1078053.6000000001</v>
      </c>
      <c r="G22" s="255">
        <v>25804.22</v>
      </c>
      <c r="H22" s="364">
        <v>10018</v>
      </c>
      <c r="I22" s="351">
        <v>5300.75</v>
      </c>
      <c r="J22" s="365">
        <f t="shared" ref="J22:J34" si="10">+F22-G22</f>
        <v>1052249.3800000001</v>
      </c>
      <c r="K22" s="165">
        <f t="shared" ref="K22:K34" si="11">J22/H22</f>
        <v>105.03587342782991</v>
      </c>
      <c r="L22" s="167">
        <f>+IF(E22="Weekdays",K22/$G$37,IF(E22="Saturdays",K22/$G$38,IF(E22="Sundays",K22/$G$39,"NA")))</f>
        <v>1.8598736028590397</v>
      </c>
      <c r="M22" s="166">
        <f t="shared" ref="M22:M34" si="12">G22/F22</f>
        <v>2.393593416876489E-2</v>
      </c>
      <c r="N22" s="166">
        <f t="shared" ref="N22:N34" si="13">+IF(E22="Weekdays",M22/$G$43,IF(E22="Saturdays",M22/$G$44,IF(E22="Sundays",M22/$G$45,"NA")))</f>
        <v>0.77132326357577952</v>
      </c>
      <c r="O22" s="168">
        <f t="shared" ref="O22:O34" si="14">ROUND(H22/I22,1)</f>
        <v>1.9</v>
      </c>
      <c r="P22" s="285" t="s">
        <v>148</v>
      </c>
    </row>
    <row r="23" spans="1:16" ht="15.75" x14ac:dyDescent="0.25">
      <c r="A23" s="170" t="s">
        <v>77</v>
      </c>
      <c r="B23" s="172" t="s">
        <v>74</v>
      </c>
      <c r="C23" s="352" t="s">
        <v>137</v>
      </c>
      <c r="D23" s="172" t="s">
        <v>58</v>
      </c>
      <c r="E23" s="181" t="s">
        <v>23</v>
      </c>
      <c r="F23" s="261">
        <v>1288677.5632411737</v>
      </c>
      <c r="G23" s="353">
        <v>4382.4671762374974</v>
      </c>
      <c r="H23" s="354">
        <v>24942</v>
      </c>
      <c r="I23" s="355">
        <v>9239.3168293168692</v>
      </c>
      <c r="J23" s="356">
        <f t="shared" si="10"/>
        <v>1284295.0960649361</v>
      </c>
      <c r="K23" s="175">
        <f t="shared" si="11"/>
        <v>51.491263574089331</v>
      </c>
      <c r="L23" s="177">
        <f t="shared" ref="L23:L34" si="15">+IF(E23="Weekdays",K23/$G$37,IF(E23="Saturdays",K23/$G$38,IF(E23="Sundays",K23/$G$39,"NA")))</f>
        <v>0.91175746698681548</v>
      </c>
      <c r="M23" s="176">
        <f t="shared" si="12"/>
        <v>3.4007476355955818E-3</v>
      </c>
      <c r="N23" s="176">
        <f t="shared" si="13"/>
        <v>0.1095873570837345</v>
      </c>
      <c r="O23" s="178">
        <f t="shared" si="14"/>
        <v>2.7</v>
      </c>
      <c r="P23" s="179" t="s">
        <v>148</v>
      </c>
    </row>
    <row r="24" spans="1:16" ht="15.75" x14ac:dyDescent="0.25">
      <c r="A24" s="170" t="s">
        <v>77</v>
      </c>
      <c r="B24" s="172" t="s">
        <v>74</v>
      </c>
      <c r="C24" s="352" t="s">
        <v>138</v>
      </c>
      <c r="D24" s="172" t="s">
        <v>58</v>
      </c>
      <c r="E24" s="181" t="s">
        <v>23</v>
      </c>
      <c r="F24" s="261">
        <v>1306874.7130271771</v>
      </c>
      <c r="G24" s="353">
        <v>4259.2970419041449</v>
      </c>
      <c r="H24" s="354">
        <v>24241</v>
      </c>
      <c r="I24" s="355">
        <v>9576.8939255128462</v>
      </c>
      <c r="J24" s="356">
        <f t="shared" si="10"/>
        <v>1302615.415985273</v>
      </c>
      <c r="K24" s="175">
        <f t="shared" si="11"/>
        <v>53.736042901912995</v>
      </c>
      <c r="L24" s="177">
        <f t="shared" si="15"/>
        <v>0.95150584703843211</v>
      </c>
      <c r="M24" s="176">
        <f t="shared" si="12"/>
        <v>3.2591471848423242E-3</v>
      </c>
      <c r="N24" s="176">
        <f t="shared" si="13"/>
        <v>0.10502435481991101</v>
      </c>
      <c r="O24" s="178">
        <f t="shared" si="14"/>
        <v>2.5</v>
      </c>
      <c r="P24" s="179" t="s">
        <v>148</v>
      </c>
    </row>
    <row r="25" spans="1:16" ht="15.75" x14ac:dyDescent="0.25">
      <c r="A25" s="170" t="s">
        <v>77</v>
      </c>
      <c r="B25" s="172" t="s">
        <v>74</v>
      </c>
      <c r="C25" s="352" t="s">
        <v>139</v>
      </c>
      <c r="D25" s="172" t="s">
        <v>58</v>
      </c>
      <c r="E25" s="181" t="s">
        <v>23</v>
      </c>
      <c r="F25" s="261">
        <v>489996.30265715549</v>
      </c>
      <c r="G25" s="353">
        <v>1036.6673217785758</v>
      </c>
      <c r="H25" s="354">
        <v>5900</v>
      </c>
      <c r="I25" s="355">
        <v>3133.2302330213106</v>
      </c>
      <c r="J25" s="356">
        <f t="shared" si="10"/>
        <v>488959.63533537689</v>
      </c>
      <c r="K25" s="175">
        <f t="shared" si="11"/>
        <v>82.8745144636232</v>
      </c>
      <c r="L25" s="177">
        <f t="shared" si="15"/>
        <v>1.4674617039916302</v>
      </c>
      <c r="M25" s="176">
        <f t="shared" si="12"/>
        <v>2.1156635594124459E-3</v>
      </c>
      <c r="N25" s="176">
        <f t="shared" si="13"/>
        <v>6.8176178534274559E-2</v>
      </c>
      <c r="O25" s="178">
        <f t="shared" si="14"/>
        <v>1.9</v>
      </c>
      <c r="P25" s="179" t="s">
        <v>149</v>
      </c>
    </row>
    <row r="26" spans="1:16" ht="15.75" x14ac:dyDescent="0.25">
      <c r="A26" s="170" t="s">
        <v>77</v>
      </c>
      <c r="B26" s="172" t="s">
        <v>74</v>
      </c>
      <c r="C26" s="352" t="s">
        <v>140</v>
      </c>
      <c r="D26" s="172" t="s">
        <v>58</v>
      </c>
      <c r="E26" s="181" t="s">
        <v>23</v>
      </c>
      <c r="F26" s="261">
        <v>382477.30317334953</v>
      </c>
      <c r="G26" s="353">
        <v>643.43656480561765</v>
      </c>
      <c r="H26" s="354">
        <v>3662</v>
      </c>
      <c r="I26" s="355">
        <v>2039.3220474009161</v>
      </c>
      <c r="J26" s="356">
        <f t="shared" si="10"/>
        <v>381833.8666085439</v>
      </c>
      <c r="K26" s="175">
        <f t="shared" si="11"/>
        <v>104.26921534913815</v>
      </c>
      <c r="L26" s="177">
        <f t="shared" si="15"/>
        <v>1.8462983635008678</v>
      </c>
      <c r="M26" s="176">
        <f t="shared" si="12"/>
        <v>1.6822869212555444E-3</v>
      </c>
      <c r="N26" s="176">
        <f t="shared" si="13"/>
        <v>5.4210837530918612E-2</v>
      </c>
      <c r="O26" s="178">
        <f t="shared" si="14"/>
        <v>1.8</v>
      </c>
      <c r="P26" s="179" t="s">
        <v>150</v>
      </c>
    </row>
    <row r="27" spans="1:16" ht="15.75" x14ac:dyDescent="0.25">
      <c r="A27" s="170" t="s">
        <v>77</v>
      </c>
      <c r="B27" s="172" t="s">
        <v>74</v>
      </c>
      <c r="C27" s="352" t="s">
        <v>137</v>
      </c>
      <c r="D27" s="172" t="s">
        <v>58</v>
      </c>
      <c r="E27" s="181" t="s">
        <v>43</v>
      </c>
      <c r="F27" s="261">
        <v>216229.4079112481</v>
      </c>
      <c r="G27" s="353">
        <v>758.34850182988691</v>
      </c>
      <c r="H27" s="354">
        <v>4316</v>
      </c>
      <c r="I27" s="355">
        <v>1550.2807408882693</v>
      </c>
      <c r="J27" s="356">
        <f t="shared" si="10"/>
        <v>215471.0594094182</v>
      </c>
      <c r="K27" s="175">
        <f t="shared" si="11"/>
        <v>49.923785776046849</v>
      </c>
      <c r="L27" s="177">
        <f t="shared" si="15"/>
        <v>0.92293089711813381</v>
      </c>
      <c r="M27" s="176">
        <f t="shared" si="12"/>
        <v>3.5071478442985559E-3</v>
      </c>
      <c r="N27" s="176">
        <f t="shared" si="13"/>
        <v>0.10867130236461579</v>
      </c>
      <c r="O27" s="178">
        <f t="shared" si="14"/>
        <v>2.8</v>
      </c>
      <c r="P27" s="179" t="s">
        <v>148</v>
      </c>
    </row>
    <row r="28" spans="1:16" ht="15.75" x14ac:dyDescent="0.25">
      <c r="A28" s="170" t="s">
        <v>77</v>
      </c>
      <c r="B28" s="172" t="s">
        <v>74</v>
      </c>
      <c r="C28" s="352" t="s">
        <v>138</v>
      </c>
      <c r="D28" s="172" t="s">
        <v>58</v>
      </c>
      <c r="E28" s="181" t="s">
        <v>43</v>
      </c>
      <c r="F28" s="261">
        <v>202772.27044178144</v>
      </c>
      <c r="G28" s="353">
        <v>707.21796104385885</v>
      </c>
      <c r="H28" s="354">
        <v>4025</v>
      </c>
      <c r="I28" s="355">
        <v>1485.933200557658</v>
      </c>
      <c r="J28" s="356">
        <f t="shared" si="10"/>
        <v>202065.05248073759</v>
      </c>
      <c r="K28" s="175">
        <f t="shared" si="11"/>
        <v>50.202497510742262</v>
      </c>
      <c r="L28" s="177">
        <f t="shared" si="15"/>
        <v>0.92808338440132387</v>
      </c>
      <c r="M28" s="176">
        <f t="shared" si="12"/>
        <v>3.4877449441338198E-3</v>
      </c>
      <c r="N28" s="176">
        <f t="shared" si="13"/>
        <v>0.10807009063241572</v>
      </c>
      <c r="O28" s="178">
        <f t="shared" si="14"/>
        <v>2.7</v>
      </c>
      <c r="P28" s="179" t="s">
        <v>148</v>
      </c>
    </row>
    <row r="29" spans="1:16" ht="15.75" x14ac:dyDescent="0.25">
      <c r="A29" s="170" t="s">
        <v>77</v>
      </c>
      <c r="B29" s="172" t="s">
        <v>74</v>
      </c>
      <c r="C29" s="352" t="s">
        <v>139</v>
      </c>
      <c r="D29" s="172" t="s">
        <v>58</v>
      </c>
      <c r="E29" s="181" t="s">
        <v>43</v>
      </c>
      <c r="F29" s="261">
        <v>84375.350694518114</v>
      </c>
      <c r="G29" s="353">
        <v>140.21364792869551</v>
      </c>
      <c r="H29" s="354">
        <v>798</v>
      </c>
      <c r="I29" s="355">
        <v>539.52937661820363</v>
      </c>
      <c r="J29" s="356">
        <f t="shared" si="10"/>
        <v>84235.137046589414</v>
      </c>
      <c r="K29" s="175">
        <f t="shared" si="11"/>
        <v>105.5578158478564</v>
      </c>
      <c r="L29" s="177">
        <f t="shared" si="15"/>
        <v>1.9514259218105143</v>
      </c>
      <c r="M29" s="176">
        <f t="shared" si="12"/>
        <v>1.6617844758517279E-3</v>
      </c>
      <c r="N29" s="176">
        <f t="shared" si="13"/>
        <v>5.149149430175394E-2</v>
      </c>
      <c r="O29" s="178">
        <f t="shared" si="14"/>
        <v>1.5</v>
      </c>
      <c r="P29" s="179" t="s">
        <v>149</v>
      </c>
    </row>
    <row r="30" spans="1:16" ht="15.75" x14ac:dyDescent="0.25">
      <c r="A30" s="170" t="s">
        <v>77</v>
      </c>
      <c r="B30" s="172" t="s">
        <v>74</v>
      </c>
      <c r="C30" s="352" t="s">
        <v>140</v>
      </c>
      <c r="D30" s="172" t="s">
        <v>58</v>
      </c>
      <c r="E30" s="181" t="s">
        <v>43</v>
      </c>
      <c r="F30" s="261">
        <v>60713.6301639249</v>
      </c>
      <c r="G30" s="353">
        <v>91.542995702819994</v>
      </c>
      <c r="H30" s="354">
        <v>521</v>
      </c>
      <c r="I30" s="355">
        <v>323.71762597092209</v>
      </c>
      <c r="J30" s="356">
        <f t="shared" si="10"/>
        <v>60622.087168222082</v>
      </c>
      <c r="K30" s="175">
        <f t="shared" si="11"/>
        <v>116.35717306760476</v>
      </c>
      <c r="L30" s="177">
        <f t="shared" si="15"/>
        <v>2.1510714473288073</v>
      </c>
      <c r="M30" s="176">
        <f t="shared" si="12"/>
        <v>1.507783268034818E-3</v>
      </c>
      <c r="N30" s="176">
        <f t="shared" si="13"/>
        <v>4.6719664723370531E-2</v>
      </c>
      <c r="O30" s="178">
        <f t="shared" si="14"/>
        <v>1.6</v>
      </c>
      <c r="P30" s="179" t="s">
        <v>150</v>
      </c>
    </row>
    <row r="31" spans="1:16" ht="15.75" x14ac:dyDescent="0.25">
      <c r="A31" s="170" t="s">
        <v>77</v>
      </c>
      <c r="B31" s="172" t="s">
        <v>74</v>
      </c>
      <c r="C31" s="352" t="s">
        <v>137</v>
      </c>
      <c r="D31" s="172" t="s">
        <v>58</v>
      </c>
      <c r="E31" s="181" t="s">
        <v>44</v>
      </c>
      <c r="F31" s="261">
        <v>214572.47758242622</v>
      </c>
      <c r="G31" s="353">
        <v>692.10721703149318</v>
      </c>
      <c r="H31" s="354">
        <v>3939</v>
      </c>
      <c r="I31" s="355">
        <v>1538.4011949810795</v>
      </c>
      <c r="J31" s="356">
        <f t="shared" si="10"/>
        <v>213880.37036539472</v>
      </c>
      <c r="K31" s="175">
        <f t="shared" si="11"/>
        <v>54.298139214367787</v>
      </c>
      <c r="L31" s="177">
        <f t="shared" si="15"/>
        <v>0.90572881859328291</v>
      </c>
      <c r="M31" s="176">
        <f t="shared" si="12"/>
        <v>3.225517199733251E-3</v>
      </c>
      <c r="N31" s="176">
        <f t="shared" si="13"/>
        <v>0.12447894479030103</v>
      </c>
      <c r="O31" s="178">
        <f t="shared" si="14"/>
        <v>2.6</v>
      </c>
      <c r="P31" s="179" t="s">
        <v>148</v>
      </c>
    </row>
    <row r="32" spans="1:16" x14ac:dyDescent="0.25">
      <c r="A32" s="170" t="s">
        <v>77</v>
      </c>
      <c r="B32" s="172" t="s">
        <v>74</v>
      </c>
      <c r="C32" s="358" t="s">
        <v>138</v>
      </c>
      <c r="D32" s="172" t="s">
        <v>58</v>
      </c>
      <c r="E32" s="172" t="s">
        <v>44</v>
      </c>
      <c r="F32" s="261">
        <v>213174.31229655628</v>
      </c>
      <c r="G32" s="261">
        <v>613.56648943233665</v>
      </c>
      <c r="H32" s="313">
        <v>3492</v>
      </c>
      <c r="I32" s="355">
        <v>1562.1602867954589</v>
      </c>
      <c r="J32" s="356">
        <f t="shared" si="10"/>
        <v>212560.74580712395</v>
      </c>
      <c r="K32" s="175">
        <f t="shared" si="11"/>
        <v>60.870774858855654</v>
      </c>
      <c r="L32" s="177">
        <f t="shared" si="15"/>
        <v>1.0153647214706116</v>
      </c>
      <c r="M32" s="176">
        <f t="shared" si="12"/>
        <v>2.8782383900869679E-3</v>
      </c>
      <c r="N32" s="176">
        <f t="shared" si="13"/>
        <v>0.11107678411468097</v>
      </c>
      <c r="O32" s="178">
        <f t="shared" si="14"/>
        <v>2.2000000000000002</v>
      </c>
      <c r="P32" s="180" t="s">
        <v>148</v>
      </c>
    </row>
    <row r="33" spans="1:16" s="96" customFormat="1" ht="15.75" x14ac:dyDescent="0.25">
      <c r="A33" s="170" t="s">
        <v>77</v>
      </c>
      <c r="B33" s="172" t="s">
        <v>74</v>
      </c>
      <c r="C33" s="352" t="s">
        <v>139</v>
      </c>
      <c r="D33" s="172" t="s">
        <v>58</v>
      </c>
      <c r="E33" s="172" t="s">
        <v>44</v>
      </c>
      <c r="F33" s="261">
        <v>60843.142794395615</v>
      </c>
      <c r="G33" s="261">
        <v>98.044129754651735</v>
      </c>
      <c r="H33" s="313">
        <v>558</v>
      </c>
      <c r="I33" s="355">
        <v>389.05512846046605</v>
      </c>
      <c r="J33" s="356">
        <f t="shared" si="10"/>
        <v>60745.098664640966</v>
      </c>
      <c r="K33" s="175">
        <f t="shared" si="11"/>
        <v>108.86218398681177</v>
      </c>
      <c r="L33" s="177">
        <f t="shared" si="15"/>
        <v>1.8158931174895447</v>
      </c>
      <c r="M33" s="176">
        <f t="shared" si="12"/>
        <v>1.6114244802568414E-3</v>
      </c>
      <c r="N33" s="176">
        <f t="shared" si="13"/>
        <v>6.2187986140089246E-2</v>
      </c>
      <c r="O33" s="178">
        <f t="shared" si="14"/>
        <v>1.4</v>
      </c>
      <c r="P33" s="180" t="s">
        <v>149</v>
      </c>
    </row>
    <row r="34" spans="1:16" s="96" customFormat="1" ht="16.5" thickBot="1" x14ac:dyDescent="0.3">
      <c r="A34" s="182" t="s">
        <v>77</v>
      </c>
      <c r="B34" s="184" t="s">
        <v>74</v>
      </c>
      <c r="C34" s="366" t="s">
        <v>140</v>
      </c>
      <c r="D34" s="184" t="s">
        <v>58</v>
      </c>
      <c r="E34" s="184" t="s">
        <v>44</v>
      </c>
      <c r="F34" s="268">
        <v>44189.125318086015</v>
      </c>
      <c r="G34" s="268">
        <v>61.145801352363449</v>
      </c>
      <c r="H34" s="317">
        <v>348</v>
      </c>
      <c r="I34" s="362">
        <v>235.6109938259311</v>
      </c>
      <c r="J34" s="367">
        <f t="shared" si="10"/>
        <v>44127.979516733649</v>
      </c>
      <c r="K34" s="187">
        <f t="shared" si="11"/>
        <v>126.80453884118864</v>
      </c>
      <c r="L34" s="189">
        <f t="shared" si="15"/>
        <v>2.115183444932959</v>
      </c>
      <c r="M34" s="188">
        <f t="shared" si="12"/>
        <v>1.3837296147461262E-3</v>
      </c>
      <c r="N34" s="188">
        <f t="shared" si="13"/>
        <v>5.3400801066238977E-2</v>
      </c>
      <c r="O34" s="190">
        <f t="shared" si="14"/>
        <v>1.5</v>
      </c>
      <c r="P34" s="286" t="s">
        <v>150</v>
      </c>
    </row>
    <row r="35" spans="1:16" ht="15.75" thickBot="1" x14ac:dyDescent="0.3">
      <c r="A35" s="200"/>
      <c r="B35" s="200"/>
      <c r="C35" s="200"/>
      <c r="D35" s="200"/>
      <c r="E35" s="479" t="s">
        <v>70</v>
      </c>
      <c r="F35" s="479"/>
      <c r="G35" s="479"/>
      <c r="H35" s="479"/>
      <c r="I35" s="479"/>
      <c r="J35" s="479"/>
      <c r="K35" s="479"/>
      <c r="L35" s="200"/>
      <c r="M35" s="204"/>
      <c r="N35" s="204"/>
      <c r="O35" s="200"/>
      <c r="P35" s="205"/>
    </row>
    <row r="36" spans="1:16" ht="36" x14ac:dyDescent="0.25">
      <c r="A36" s="200"/>
      <c r="B36" s="202"/>
      <c r="C36" s="200"/>
      <c r="D36" s="200"/>
      <c r="E36" s="206" t="s">
        <v>41</v>
      </c>
      <c r="F36" s="272" t="s">
        <v>33</v>
      </c>
      <c r="G36" s="273" t="s">
        <v>34</v>
      </c>
      <c r="H36" s="273" t="s">
        <v>35</v>
      </c>
      <c r="I36" s="273" t="s">
        <v>36</v>
      </c>
      <c r="J36" s="274" t="s">
        <v>37</v>
      </c>
      <c r="K36" s="209" t="s">
        <v>40</v>
      </c>
      <c r="L36" s="200"/>
      <c r="M36" s="204"/>
      <c r="N36" s="204"/>
      <c r="O36" s="200"/>
      <c r="P36" s="205"/>
    </row>
    <row r="37" spans="1:16" x14ac:dyDescent="0.25">
      <c r="A37" s="200"/>
      <c r="B37" s="202"/>
      <c r="C37" s="200"/>
      <c r="D37" s="200"/>
      <c r="E37" s="210">
        <f>COUNTIF($E$3:$E$34,"Weekdays")</f>
        <v>11</v>
      </c>
      <c r="F37" s="275" t="s">
        <v>23</v>
      </c>
      <c r="G37" s="276">
        <f>(SUMIF(E3:E34,"Weekdays",K3:K34))/E37</f>
        <v>56.474737458699558</v>
      </c>
      <c r="H37" s="277">
        <f>G37*1.2</f>
        <v>67.769684950439469</v>
      </c>
      <c r="I37" s="278">
        <f>G37*1.35</f>
        <v>76.240895569244401</v>
      </c>
      <c r="J37" s="370">
        <f>G37*1.6</f>
        <v>90.359579933919292</v>
      </c>
      <c r="K37" s="216">
        <f>+SUMIF($E$3:$E$34,"Weekdays",$J$3:$J$34)/SUMIF($E$3:$E$34,"Weekdays",$H$3:$H$34)</f>
        <v>42.195627667909662</v>
      </c>
      <c r="L37" s="200"/>
      <c r="M37" s="321"/>
      <c r="N37" s="204"/>
      <c r="O37" s="200"/>
      <c r="P37" s="205"/>
    </row>
    <row r="38" spans="1:16" x14ac:dyDescent="0.25">
      <c r="A38" s="200"/>
      <c r="B38" s="202"/>
      <c r="C38" s="200"/>
      <c r="D38" s="200"/>
      <c r="E38" s="210">
        <f>COUNTIF($E$3:$E$34, "Saturdays")</f>
        <v>10</v>
      </c>
      <c r="F38" s="275" t="s">
        <v>43</v>
      </c>
      <c r="G38" s="276">
        <f>AVERAGEIF($E$3:$E$34,"Saturdays",K3:K34)</f>
        <v>54.092658434054655</v>
      </c>
      <c r="H38" s="277">
        <f>G38*1.2</f>
        <v>64.911190120865584</v>
      </c>
      <c r="I38" s="278">
        <f>G38*1.35</f>
        <v>73.025088885973787</v>
      </c>
      <c r="J38" s="279">
        <f>G38*1.6</f>
        <v>86.548253494487454</v>
      </c>
      <c r="K38" s="216">
        <f>+SUMIF($E$3:$E$34,"Saturdays",$J$3:$J$34)/SUMIF($E$3:$E$34,"Saturdays",$H$3:$H$34)</f>
        <v>39.372574281755142</v>
      </c>
      <c r="L38" s="200"/>
      <c r="M38" s="321"/>
      <c r="N38" s="204"/>
      <c r="O38" s="200"/>
      <c r="P38" s="205"/>
    </row>
    <row r="39" spans="1:16" ht="15.75" thickBot="1" x14ac:dyDescent="0.3">
      <c r="A39" s="200"/>
      <c r="B39" s="200"/>
      <c r="C39" s="200"/>
      <c r="D39" s="200"/>
      <c r="E39" s="222">
        <f>COUNTIF($E$3:$E$34, "Sundays")</f>
        <v>8</v>
      </c>
      <c r="F39" s="275" t="s">
        <v>44</v>
      </c>
      <c r="G39" s="280">
        <f>AVERAGEIF($E$3:$E$34,"Sundays",K3:K34)</f>
        <v>59.949664954572171</v>
      </c>
      <c r="H39" s="277">
        <f>G39*1.2</f>
        <v>71.939597945486597</v>
      </c>
      <c r="I39" s="278">
        <f>G39*1.35</f>
        <v>80.932047688672441</v>
      </c>
      <c r="J39" s="279">
        <f>G39*1.6</f>
        <v>95.919463927315476</v>
      </c>
      <c r="K39" s="216">
        <f>+SUMIF($E$3:$E$34,"Sundays",$J$3:$J$34)/SUMIF($E$3:$E$34,"Sundays",$H$3:$H$34)</f>
        <v>36.862378468315541</v>
      </c>
      <c r="L39" s="200"/>
      <c r="M39" s="321"/>
      <c r="N39" s="204"/>
      <c r="O39" s="200"/>
      <c r="P39" s="205"/>
    </row>
    <row r="40" spans="1:16" ht="15.75" thickBot="1" x14ac:dyDescent="0.3">
      <c r="A40" s="200"/>
      <c r="B40" s="200"/>
      <c r="C40" s="200"/>
      <c r="D40" s="200"/>
      <c r="E40" s="200"/>
      <c r="F40" s="281" t="s">
        <v>39</v>
      </c>
      <c r="G40" s="229">
        <v>2</v>
      </c>
      <c r="H40" s="230"/>
      <c r="I40" s="230"/>
      <c r="J40" s="231"/>
      <c r="K40" s="232">
        <f>+SUM($J$3:$J$34)/SUM($H$3:$H$34)</f>
        <v>41.509606069167106</v>
      </c>
      <c r="L40" s="200"/>
      <c r="M40" s="204"/>
      <c r="N40" s="204"/>
      <c r="O40" s="200"/>
      <c r="P40" s="205"/>
    </row>
    <row r="41" spans="1:16" ht="15.75" thickBot="1" x14ac:dyDescent="0.3">
      <c r="A41" s="200"/>
      <c r="B41" s="200"/>
      <c r="C41" s="200"/>
      <c r="D41" s="200"/>
      <c r="E41" s="480" t="s">
        <v>69</v>
      </c>
      <c r="F41" s="480"/>
      <c r="G41" s="480"/>
      <c r="H41" s="480"/>
      <c r="I41" s="480"/>
      <c r="J41" s="480"/>
      <c r="K41" s="480"/>
      <c r="L41" s="200"/>
      <c r="M41" s="204"/>
      <c r="N41" s="204"/>
      <c r="O41" s="200"/>
      <c r="P41" s="205"/>
    </row>
    <row r="42" spans="1:16" ht="36" x14ac:dyDescent="0.25">
      <c r="A42" s="200"/>
      <c r="B42" s="200"/>
      <c r="C42" s="200"/>
      <c r="D42" s="200"/>
      <c r="E42" s="282"/>
      <c r="F42" s="206" t="s">
        <v>33</v>
      </c>
      <c r="G42" s="207" t="s">
        <v>34</v>
      </c>
      <c r="H42" s="207" t="s">
        <v>35</v>
      </c>
      <c r="I42" s="207" t="s">
        <v>36</v>
      </c>
      <c r="J42" s="208" t="s">
        <v>37</v>
      </c>
      <c r="K42" s="209" t="s">
        <v>123</v>
      </c>
      <c r="L42" s="200"/>
      <c r="M42" s="204"/>
      <c r="N42" s="204"/>
      <c r="O42" s="200"/>
      <c r="P42" s="205"/>
    </row>
    <row r="43" spans="1:16" x14ac:dyDescent="0.25">
      <c r="A43" s="200"/>
      <c r="B43" s="200"/>
      <c r="C43" s="200"/>
      <c r="D43" s="200"/>
      <c r="E43" s="283"/>
      <c r="F43" s="211" t="s">
        <v>23</v>
      </c>
      <c r="G43" s="233">
        <f>AVERAGEIF($E$3:$E$106,"Weekdays",$M$3:$M$106)</f>
        <v>3.1032299036075007E-2</v>
      </c>
      <c r="H43" s="234">
        <f>G43*0.8</f>
        <v>2.4825839228860006E-2</v>
      </c>
      <c r="I43" s="235">
        <f>G43*0.65</f>
        <v>2.0170994373448756E-2</v>
      </c>
      <c r="J43" s="236">
        <f>G43*0.4</f>
        <v>1.2412919614430003E-2</v>
      </c>
      <c r="K43" s="237">
        <f>+SUMIF($E$3:$E$106,"Weekdays",$G$3:$G$106)/SUMIF($E$3:$E$106,"Weekdays",$F$3:$F$106)</f>
        <v>4.6282239875770528E-2</v>
      </c>
      <c r="L43" s="200"/>
      <c r="M43" s="204"/>
      <c r="N43" s="204"/>
      <c r="O43" s="200"/>
      <c r="P43" s="205"/>
    </row>
    <row r="44" spans="1:16" x14ac:dyDescent="0.25">
      <c r="A44" s="200"/>
      <c r="B44" s="200"/>
      <c r="C44" s="200"/>
      <c r="D44" s="200"/>
      <c r="E44" s="283"/>
      <c r="F44" s="217" t="s">
        <v>43</v>
      </c>
      <c r="G44" s="238">
        <f>AVERAGEIF($E$3:$E$106,"Saturdays",$M$3:$M$106)</f>
        <v>3.2272989906123643E-2</v>
      </c>
      <c r="H44" s="239">
        <f>G44*0.8</f>
        <v>2.5818391924898917E-2</v>
      </c>
      <c r="I44" s="240">
        <f>G44*0.65</f>
        <v>2.0977443438980368E-2</v>
      </c>
      <c r="J44" s="241">
        <f>G44*0.4</f>
        <v>1.2909195962449459E-2</v>
      </c>
      <c r="K44" s="237">
        <f>+SUMIF($E$3:$E$106,"Saturdays",$G$3:$G$106)/SUMIF($E$3:$E$106,"Saturdays",$F$3:$F$106)</f>
        <v>4.6059006088332195E-2</v>
      </c>
      <c r="L44" s="200"/>
      <c r="M44" s="204"/>
      <c r="N44" s="204"/>
      <c r="O44" s="200"/>
      <c r="P44" s="205"/>
    </row>
    <row r="45" spans="1:16" ht="15.75" thickBot="1" x14ac:dyDescent="0.3">
      <c r="A45" s="200"/>
      <c r="B45" s="200"/>
      <c r="C45" s="200"/>
      <c r="D45" s="200"/>
      <c r="E45" s="283"/>
      <c r="F45" s="243" t="s">
        <v>44</v>
      </c>
      <c r="G45" s="446">
        <f>AVERAGEIF($E$3:$E$106,"Sundays",$M$3:$M$106)</f>
        <v>2.591215088758185E-2</v>
      </c>
      <c r="H45" s="245">
        <f>G45*0.8</f>
        <v>2.0729720710065482E-2</v>
      </c>
      <c r="I45" s="246">
        <f>G45*0.65</f>
        <v>1.6842898076928202E-2</v>
      </c>
      <c r="J45" s="247">
        <f>G45*0.4</f>
        <v>1.0364860355032741E-2</v>
      </c>
      <c r="K45" s="248">
        <f>+SUMIF($E$3:$E$106,"Sundays",$G$3:$G$106)/SUMIF($E$3:$E$106,"Sundays",$F$3:$F$106)</f>
        <v>3.7482438316476956E-2</v>
      </c>
      <c r="L45" s="200"/>
      <c r="M45" s="204"/>
      <c r="N45" s="204"/>
      <c r="O45" s="200"/>
      <c r="P45" s="205"/>
    </row>
    <row r="46" spans="1:16" x14ac:dyDescent="0.25">
      <c r="M46" s="26"/>
      <c r="N46" s="26"/>
    </row>
    <row r="47" spans="1:16" x14ac:dyDescent="0.25">
      <c r="M47" s="26"/>
      <c r="N47" s="26"/>
    </row>
    <row r="48" spans="1:16" x14ac:dyDescent="0.25">
      <c r="M48" s="26"/>
      <c r="N48" s="26"/>
    </row>
    <row r="49" spans="13:14" x14ac:dyDescent="0.25">
      <c r="M49" s="26"/>
      <c r="N49" s="26"/>
    </row>
    <row r="50" spans="13:14" x14ac:dyDescent="0.25">
      <c r="M50" s="26"/>
      <c r="N50" s="26"/>
    </row>
    <row r="51" spans="13:14" x14ac:dyDescent="0.25">
      <c r="M51" s="26"/>
      <c r="N51" s="26"/>
    </row>
    <row r="52" spans="13:14" x14ac:dyDescent="0.25">
      <c r="M52" s="26"/>
      <c r="N52" s="26"/>
    </row>
    <row r="53" spans="13:14" x14ac:dyDescent="0.25">
      <c r="M53" s="26"/>
      <c r="N53" s="26"/>
    </row>
    <row r="54" spans="13:14" x14ac:dyDescent="0.25">
      <c r="M54" s="26"/>
      <c r="N54" s="26"/>
    </row>
    <row r="55" spans="13:14" x14ac:dyDescent="0.25">
      <c r="M55" s="26"/>
      <c r="N55" s="26"/>
    </row>
    <row r="56" spans="13:14" x14ac:dyDescent="0.25">
      <c r="M56" s="26"/>
      <c r="N56" s="26"/>
    </row>
    <row r="57" spans="13:14" x14ac:dyDescent="0.25">
      <c r="M57" s="26"/>
      <c r="N57" s="26"/>
    </row>
    <row r="58" spans="13:14" x14ac:dyDescent="0.25">
      <c r="M58" s="26"/>
      <c r="N58" s="26"/>
    </row>
    <row r="59" spans="13:14" x14ac:dyDescent="0.25">
      <c r="M59" s="26"/>
      <c r="N59" s="26"/>
    </row>
    <row r="60" spans="13:14" x14ac:dyDescent="0.25">
      <c r="M60" s="26"/>
      <c r="N60" s="26"/>
    </row>
    <row r="61" spans="13:14" x14ac:dyDescent="0.25">
      <c r="M61" s="26"/>
      <c r="N61" s="26"/>
    </row>
    <row r="62" spans="13:14" x14ac:dyDescent="0.25">
      <c r="M62" s="26"/>
      <c r="N62" s="26"/>
    </row>
    <row r="63" spans="13:14" x14ac:dyDescent="0.25">
      <c r="M63" s="26"/>
      <c r="N63" s="26"/>
    </row>
    <row r="64" spans="13:14" x14ac:dyDescent="0.25">
      <c r="M64" s="26"/>
      <c r="N64" s="26"/>
    </row>
    <row r="65" spans="13:14" x14ac:dyDescent="0.25">
      <c r="M65" s="26"/>
      <c r="N65" s="26"/>
    </row>
    <row r="66" spans="13:14" x14ac:dyDescent="0.25">
      <c r="M66" s="26"/>
      <c r="N66" s="26"/>
    </row>
    <row r="67" spans="13:14" x14ac:dyDescent="0.25">
      <c r="M67" s="26"/>
      <c r="N67" s="26"/>
    </row>
    <row r="68" spans="13:14" x14ac:dyDescent="0.25">
      <c r="M68" s="26"/>
      <c r="N68" s="26"/>
    </row>
    <row r="69" spans="13:14" x14ac:dyDescent="0.25">
      <c r="M69" s="26"/>
      <c r="N69" s="26"/>
    </row>
    <row r="70" spans="13:14" x14ac:dyDescent="0.25">
      <c r="M70" s="26"/>
      <c r="N70" s="26"/>
    </row>
    <row r="71" spans="13:14" x14ac:dyDescent="0.25">
      <c r="M71" s="26"/>
      <c r="N71" s="26"/>
    </row>
    <row r="72" spans="13:14" x14ac:dyDescent="0.25">
      <c r="M72" s="26"/>
      <c r="N72" s="26"/>
    </row>
    <row r="73" spans="13:14" x14ac:dyDescent="0.25">
      <c r="M73" s="26"/>
      <c r="N73" s="26"/>
    </row>
    <row r="74" spans="13:14" x14ac:dyDescent="0.25">
      <c r="M74" s="26"/>
      <c r="N74" s="26"/>
    </row>
    <row r="75" spans="13:14" x14ac:dyDescent="0.25">
      <c r="M75" s="26"/>
      <c r="N75" s="26"/>
    </row>
    <row r="76" spans="13:14" x14ac:dyDescent="0.25">
      <c r="M76" s="26"/>
      <c r="N76" s="26"/>
    </row>
    <row r="77" spans="13:14" x14ac:dyDescent="0.25">
      <c r="M77" s="26"/>
      <c r="N77" s="26"/>
    </row>
    <row r="78" spans="13:14" x14ac:dyDescent="0.25">
      <c r="M78" s="26"/>
      <c r="N78" s="26"/>
    </row>
    <row r="79" spans="13:14" x14ac:dyDescent="0.25">
      <c r="M79" s="26"/>
      <c r="N79" s="26"/>
    </row>
    <row r="80" spans="13:14" x14ac:dyDescent="0.25">
      <c r="M80" s="26"/>
      <c r="N80" s="26"/>
    </row>
    <row r="81" spans="13:14" x14ac:dyDescent="0.25">
      <c r="M81" s="26"/>
      <c r="N81" s="26"/>
    </row>
    <row r="82" spans="13:14" x14ac:dyDescent="0.25">
      <c r="M82" s="26"/>
      <c r="N82" s="26"/>
    </row>
    <row r="83" spans="13:14" x14ac:dyDescent="0.25">
      <c r="M83" s="26"/>
      <c r="N83" s="26"/>
    </row>
    <row r="84" spans="13:14" x14ac:dyDescent="0.25">
      <c r="M84" s="26"/>
      <c r="N84" s="26"/>
    </row>
    <row r="85" spans="13:14" x14ac:dyDescent="0.25">
      <c r="M85" s="26"/>
      <c r="N85" s="26"/>
    </row>
    <row r="86" spans="13:14" x14ac:dyDescent="0.25">
      <c r="M86" s="26"/>
      <c r="N86" s="26"/>
    </row>
    <row r="87" spans="13:14" x14ac:dyDescent="0.25">
      <c r="M87" s="26"/>
      <c r="N87" s="26"/>
    </row>
    <row r="88" spans="13:14" x14ac:dyDescent="0.25">
      <c r="M88" s="26"/>
      <c r="N88" s="26"/>
    </row>
    <row r="89" spans="13:14" x14ac:dyDescent="0.25">
      <c r="M89" s="26"/>
      <c r="N89" s="26"/>
    </row>
    <row r="90" spans="13:14" x14ac:dyDescent="0.25">
      <c r="M90" s="26"/>
      <c r="N90" s="26"/>
    </row>
    <row r="91" spans="13:14" x14ac:dyDescent="0.25">
      <c r="M91" s="26"/>
      <c r="N91" s="26"/>
    </row>
    <row r="92" spans="13:14" x14ac:dyDescent="0.25">
      <c r="M92" s="26"/>
      <c r="N92" s="26"/>
    </row>
    <row r="93" spans="13:14" x14ac:dyDescent="0.25">
      <c r="M93" s="26"/>
      <c r="N93" s="26"/>
    </row>
    <row r="94" spans="13:14" x14ac:dyDescent="0.25">
      <c r="M94" s="26"/>
      <c r="N94" s="26"/>
    </row>
    <row r="95" spans="13:14" x14ac:dyDescent="0.25">
      <c r="M95" s="26"/>
      <c r="N95" s="26"/>
    </row>
    <row r="96" spans="13:14" x14ac:dyDescent="0.25">
      <c r="M96" s="26"/>
      <c r="N96" s="26"/>
    </row>
    <row r="97" spans="13:14" x14ac:dyDescent="0.25">
      <c r="M97" s="26"/>
      <c r="N97" s="26"/>
    </row>
    <row r="98" spans="13:14" x14ac:dyDescent="0.25">
      <c r="M98" s="26"/>
      <c r="N98" s="26"/>
    </row>
    <row r="99" spans="13:14" x14ac:dyDescent="0.25">
      <c r="M99" s="26"/>
      <c r="N99" s="26"/>
    </row>
    <row r="100" spans="13:14" x14ac:dyDescent="0.25">
      <c r="M100" s="26"/>
      <c r="N100" s="26"/>
    </row>
    <row r="101" spans="13:14" x14ac:dyDescent="0.25">
      <c r="M101" s="26"/>
      <c r="N101" s="26"/>
    </row>
    <row r="102" spans="13:14" x14ac:dyDescent="0.25">
      <c r="M102" s="26"/>
      <c r="N102" s="26"/>
    </row>
    <row r="103" spans="13:14" x14ac:dyDescent="0.25">
      <c r="M103" s="26"/>
      <c r="N103" s="26"/>
    </row>
    <row r="104" spans="13:14" x14ac:dyDescent="0.25">
      <c r="M104" s="26"/>
      <c r="N104" s="26"/>
    </row>
    <row r="105" spans="13:14" x14ac:dyDescent="0.25">
      <c r="M105" s="26"/>
      <c r="N105" s="26"/>
    </row>
    <row r="106" spans="13:14" x14ac:dyDescent="0.25">
      <c r="M106" s="26"/>
      <c r="N106" s="26"/>
    </row>
  </sheetData>
  <autoFilter ref="A2:P34" xr:uid="{7C6D36E6-FDBF-4BB8-A6F8-7E72BCBE2BBB}"/>
  <sortState xmlns:xlrd2="http://schemas.microsoft.com/office/spreadsheetml/2017/richdata2" ref="A3:P34">
    <sortCondition ref="E3:E34" customList="Weekday,Wk,Saturday,Sat,Sunday,Sun,Sunday/Holiday,Sunday / Holiday,Reduced"/>
    <sortCondition ref="C3:C34"/>
  </sortState>
  <mergeCells count="3">
    <mergeCell ref="A1:P1"/>
    <mergeCell ref="E35:K35"/>
    <mergeCell ref="E41:K41"/>
  </mergeCells>
  <conditionalFormatting sqref="L3:L18 L22:L34">
    <cfRule type="cellIs" dxfId="12" priority="5" operator="greaterThan">
      <formula>1.6</formula>
    </cfRule>
    <cfRule type="cellIs" dxfId="11" priority="20" operator="between">
      <formula>1.35</formula>
      <formula>1.6</formula>
    </cfRule>
    <cfRule type="cellIs" dxfId="10" priority="21" operator="between">
      <formula>1.2</formula>
      <formula>1.35</formula>
    </cfRule>
  </conditionalFormatting>
  <conditionalFormatting sqref="O3:O18 O22:O34">
    <cfRule type="cellIs" dxfId="9" priority="71" operator="lessThan">
      <formula>$G$40</formula>
    </cfRule>
  </conditionalFormatting>
  <pageMargins left="0.7" right="0.7" top="0.75" bottom="0.75" header="0.3" footer="0.3"/>
  <pageSetup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C8AD-8639-43A9-8303-D920001D09D9}">
  <dimension ref="A1:P21"/>
  <sheetViews>
    <sheetView workbookViewId="0">
      <selection activeCell="N10" sqref="N10"/>
    </sheetView>
  </sheetViews>
  <sheetFormatPr defaultRowHeight="15" x14ac:dyDescent="0.25"/>
  <cols>
    <col min="1" max="1" width="20.7109375" customWidth="1"/>
    <col min="2" max="2" width="9.28515625" customWidth="1"/>
    <col min="3" max="3" width="14.42578125" bestFit="1" customWidth="1"/>
    <col min="4" max="4" width="18.85546875" customWidth="1"/>
    <col min="5" max="5" width="10.7109375" customWidth="1"/>
    <col min="6" max="6" width="12.140625" customWidth="1"/>
    <col min="7" max="7" width="11.42578125" customWidth="1"/>
    <col min="8" max="8" width="13.85546875" bestFit="1" customWidth="1"/>
    <col min="9" max="9" width="11.7109375" customWidth="1"/>
    <col min="10" max="10" width="12.42578125" customWidth="1"/>
    <col min="11" max="11" width="11.7109375" customWidth="1"/>
    <col min="12" max="12" width="14.140625" customWidth="1"/>
    <col min="13" max="13" width="12.42578125" customWidth="1"/>
    <col min="14" max="14" width="93" customWidth="1"/>
  </cols>
  <sheetData>
    <row r="1" spans="1:16" ht="37.5" thickBot="1" x14ac:dyDescent="0.75">
      <c r="A1" s="470" t="s">
        <v>151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</row>
    <row r="2" spans="1:16" ht="45.75" thickBot="1" x14ac:dyDescent="0.3">
      <c r="A2" s="371" t="s">
        <v>7</v>
      </c>
      <c r="B2" s="349" t="s">
        <v>49</v>
      </c>
      <c r="C2" s="372" t="s">
        <v>50</v>
      </c>
      <c r="D2" s="154" t="s">
        <v>0</v>
      </c>
      <c r="E2" s="154" t="s">
        <v>1</v>
      </c>
      <c r="F2" s="373" t="s">
        <v>2</v>
      </c>
      <c r="G2" s="155" t="s">
        <v>27</v>
      </c>
      <c r="H2" s="156" t="s">
        <v>29</v>
      </c>
      <c r="I2" s="156" t="s">
        <v>56</v>
      </c>
      <c r="J2" s="373" t="s">
        <v>28</v>
      </c>
      <c r="K2" s="157" t="s">
        <v>11</v>
      </c>
      <c r="L2" s="158" t="s">
        <v>48</v>
      </c>
      <c r="M2" s="158" t="s">
        <v>31</v>
      </c>
      <c r="N2" s="374" t="s">
        <v>32</v>
      </c>
    </row>
    <row r="3" spans="1:16" x14ac:dyDescent="0.25">
      <c r="A3" s="375" t="s">
        <v>77</v>
      </c>
      <c r="B3" s="250"/>
      <c r="C3" s="250" t="s">
        <v>12</v>
      </c>
      <c r="D3" s="250" t="s">
        <v>13</v>
      </c>
      <c r="E3" s="250" t="s">
        <v>23</v>
      </c>
      <c r="F3" s="293">
        <v>90465300.629070997</v>
      </c>
      <c r="G3" s="293">
        <v>4070781.7741582207</v>
      </c>
      <c r="H3" s="376">
        <v>1450555</v>
      </c>
      <c r="I3" s="376">
        <v>1003342</v>
      </c>
      <c r="J3" s="293">
        <f>F3-G3</f>
        <v>86394518.854912773</v>
      </c>
      <c r="K3" s="251">
        <f>J3/H3</f>
        <v>59.559629834727239</v>
      </c>
      <c r="L3" s="377">
        <f>+IF(E3="Weekdays",K3/$H$11,IF(E3="Saturdays",K3/$H$12,IF(E3="Sundays",K3/$H$13,"NA")))</f>
        <v>1.1403019214474683</v>
      </c>
      <c r="M3" s="378">
        <f>H3/I3</f>
        <v>1.4457233924225239</v>
      </c>
      <c r="N3" s="257" t="s">
        <v>98</v>
      </c>
    </row>
    <row r="4" spans="1:16" x14ac:dyDescent="0.25">
      <c r="A4" s="217" t="s">
        <v>77</v>
      </c>
      <c r="B4" s="200"/>
      <c r="C4" s="200" t="s">
        <v>12</v>
      </c>
      <c r="D4" s="200" t="s">
        <v>13</v>
      </c>
      <c r="E4" s="200" t="s">
        <v>43</v>
      </c>
      <c r="F4" s="201">
        <v>9993799.1584426966</v>
      </c>
      <c r="G4" s="201">
        <v>452039.77467867458</v>
      </c>
      <c r="H4" s="379">
        <v>147781</v>
      </c>
      <c r="I4" s="379">
        <v>119623</v>
      </c>
      <c r="J4" s="201">
        <f>F4-G4</f>
        <v>9541759.3837640211</v>
      </c>
      <c r="K4" s="202">
        <f>J4/H4</f>
        <v>64.566888732408231</v>
      </c>
      <c r="L4" s="435">
        <f>+IF(E4="Weekdays",K4/$H$11,IF(E4="Saturdays",K4/$H$12,IF(E4="Sundays",K4/$H$13,"NA")))</f>
        <v>1</v>
      </c>
      <c r="M4" s="369">
        <f>H4/I4</f>
        <v>1.2353895153941967</v>
      </c>
      <c r="N4" s="263" t="s">
        <v>98</v>
      </c>
    </row>
    <row r="5" spans="1:16" x14ac:dyDescent="0.25">
      <c r="A5" s="217" t="s">
        <v>77</v>
      </c>
      <c r="B5" s="200"/>
      <c r="C5" s="200" t="s">
        <v>12</v>
      </c>
      <c r="D5" s="200" t="s">
        <v>13</v>
      </c>
      <c r="E5" s="200" t="s">
        <v>44</v>
      </c>
      <c r="F5" s="201">
        <v>923836.21248601528</v>
      </c>
      <c r="G5" s="201">
        <v>44802.451163104335</v>
      </c>
      <c r="H5" s="379">
        <v>147945</v>
      </c>
      <c r="I5" s="379">
        <v>113575</v>
      </c>
      <c r="J5" s="201">
        <f>F5-G5</f>
        <v>879033.7613229109</v>
      </c>
      <c r="K5" s="436">
        <f>J5/H5</f>
        <v>5.9416253426807994</v>
      </c>
      <c r="L5" s="435">
        <f>+IF(E5="Weekdays",K5/$H$11,IF(E5="Saturdays",K5/$H$12,IF(E5="Sundays",K5/$H$13,"NA")))</f>
        <v>1</v>
      </c>
      <c r="M5" s="369">
        <f>H5/I5</f>
        <v>1.3026194144838212</v>
      </c>
      <c r="N5" s="263" t="s">
        <v>98</v>
      </c>
    </row>
    <row r="6" spans="1:16" x14ac:dyDescent="0.25">
      <c r="A6" s="217" t="s">
        <v>77</v>
      </c>
      <c r="B6" s="200"/>
      <c r="C6" s="200" t="s">
        <v>95</v>
      </c>
      <c r="D6" s="200" t="s">
        <v>96</v>
      </c>
      <c r="E6" s="200" t="s">
        <v>23</v>
      </c>
      <c r="F6" s="201">
        <v>15064799</v>
      </c>
      <c r="G6" s="201">
        <v>5766811</v>
      </c>
      <c r="H6" s="379">
        <v>207067</v>
      </c>
      <c r="I6" s="379">
        <v>89210</v>
      </c>
      <c r="J6" s="201">
        <f>F6-G6</f>
        <v>9297988</v>
      </c>
      <c r="K6" s="202">
        <f>J6/H6</f>
        <v>44.903282512423516</v>
      </c>
      <c r="L6" s="204">
        <f>+IF(E6="Weekdays",K6/$H$11,IF(E6="Saturdays",K6/$H$12,IF(E6="Sundays",K6/$H$13,"NA")))</f>
        <v>0.85969807855253155</v>
      </c>
      <c r="M6" s="369">
        <f>H6/I6</f>
        <v>2.3211187086649478</v>
      </c>
      <c r="N6" s="263" t="s">
        <v>97</v>
      </c>
      <c r="O6" s="100"/>
      <c r="P6" s="135"/>
    </row>
    <row r="7" spans="1:16" ht="15.75" thickBot="1" x14ac:dyDescent="0.3">
      <c r="A7" s="182" t="s">
        <v>77</v>
      </c>
      <c r="B7" s="184"/>
      <c r="C7" s="361" t="s">
        <v>100</v>
      </c>
      <c r="D7" s="184" t="s">
        <v>67</v>
      </c>
      <c r="E7" s="184" t="s">
        <v>23</v>
      </c>
      <c r="F7" s="268">
        <v>9784788</v>
      </c>
      <c r="G7" s="268">
        <v>542586</v>
      </c>
      <c r="H7" s="437">
        <v>139158</v>
      </c>
      <c r="I7" s="362">
        <v>89620</v>
      </c>
      <c r="J7" s="367">
        <f>F7-G7</f>
        <v>9242202</v>
      </c>
      <c r="K7" s="187">
        <f>J7/H7</f>
        <v>66.415168369766747</v>
      </c>
      <c r="L7" s="329">
        <f>+IF(E7="Weekdays",K7/$H$18,IF(E7="Saturdays",K7/$H$19,IF(E7="Sundays",K7/$H$20,"NA")))</f>
        <v>1</v>
      </c>
      <c r="M7" s="381">
        <f>H7/I7</f>
        <v>1.5527560812318679</v>
      </c>
      <c r="N7" s="382"/>
    </row>
    <row r="8" spans="1:16" x14ac:dyDescent="0.25">
      <c r="A8" s="200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</row>
    <row r="9" spans="1:16" ht="15.75" thickBot="1" x14ac:dyDescent="0.3">
      <c r="A9" s="200"/>
      <c r="B9" s="200"/>
      <c r="C9" s="200"/>
      <c r="D9" s="200"/>
      <c r="E9" s="200"/>
      <c r="F9" s="303" t="s">
        <v>152</v>
      </c>
      <c r="G9" s="303"/>
      <c r="H9" s="303"/>
      <c r="I9" s="303"/>
      <c r="J9" s="303"/>
      <c r="K9" s="303"/>
      <c r="L9" s="303"/>
      <c r="M9" s="200"/>
      <c r="N9" s="200"/>
    </row>
    <row r="10" spans="1:16" ht="36" x14ac:dyDescent="0.25">
      <c r="A10" s="200"/>
      <c r="B10" s="200"/>
      <c r="C10" s="200"/>
      <c r="D10" s="200"/>
      <c r="E10" s="200"/>
      <c r="F10" s="206" t="s">
        <v>41</v>
      </c>
      <c r="G10" s="272" t="s">
        <v>33</v>
      </c>
      <c r="H10" s="273" t="s">
        <v>34</v>
      </c>
      <c r="I10" s="273" t="s">
        <v>35</v>
      </c>
      <c r="J10" s="273" t="s">
        <v>36</v>
      </c>
      <c r="K10" s="274" t="s">
        <v>37</v>
      </c>
      <c r="L10" s="209" t="s">
        <v>40</v>
      </c>
      <c r="M10" s="200"/>
      <c r="N10" s="200"/>
    </row>
    <row r="11" spans="1:16" x14ac:dyDescent="0.25">
      <c r="A11" s="200"/>
      <c r="B11" s="200"/>
      <c r="C11" s="200"/>
      <c r="D11" s="200"/>
      <c r="E11" s="200"/>
      <c r="F11" s="210">
        <f>COUNTIF($E$3:$E$6, "Weekdays")</f>
        <v>2</v>
      </c>
      <c r="G11" s="275" t="s">
        <v>23</v>
      </c>
      <c r="H11" s="276">
        <f>AVERAGEIF($E$3:$E$6,"Weekdays",K3:K6)</f>
        <v>52.231456173575381</v>
      </c>
      <c r="I11" s="277">
        <f>H11*1.2</f>
        <v>62.677747408290458</v>
      </c>
      <c r="J11" s="278">
        <f>H11*1.35</f>
        <v>70.512465834326775</v>
      </c>
      <c r="K11" s="279">
        <f>H11*1.6</f>
        <v>83.57032987772061</v>
      </c>
      <c r="L11" s="216">
        <f>+SUMIF($E$3:$E$6,"Weekdays",$J$3:$J$6)/SUMIF($E$3:$E$6,"Weekdays",$H$3:$H$6)</f>
        <v>57.728786692570907</v>
      </c>
      <c r="M11" s="200"/>
      <c r="N11" s="200"/>
    </row>
    <row r="12" spans="1:16" x14ac:dyDescent="0.25">
      <c r="A12" s="200"/>
      <c r="B12" s="200"/>
      <c r="C12" s="200"/>
      <c r="D12" s="200"/>
      <c r="E12" s="200"/>
      <c r="F12" s="210">
        <f>COUNTIF($E$3:$E$6, "Saturdays")</f>
        <v>1</v>
      </c>
      <c r="G12" s="275" t="s">
        <v>43</v>
      </c>
      <c r="H12" s="276">
        <f>AVERAGEIF($E$3:$E$5,"Saturdays",K3:K5)</f>
        <v>64.566888732408231</v>
      </c>
      <c r="I12" s="277">
        <f>H12*1.2</f>
        <v>77.480266478889874</v>
      </c>
      <c r="J12" s="278">
        <f>H12*1.35</f>
        <v>87.165299788751113</v>
      </c>
      <c r="K12" s="279">
        <f>H12*1.6</f>
        <v>103.30702197185317</v>
      </c>
      <c r="L12" s="216">
        <f>+SUMIF($E$3:$E$5,"saturdays",$J$3:$J$6)/SUMIF($E$3:$E$5,"saturdays",$H$3:$H$6)</f>
        <v>64.566888732408231</v>
      </c>
      <c r="M12" s="200"/>
      <c r="N12" s="200"/>
    </row>
    <row r="13" spans="1:16" ht="15.75" thickBot="1" x14ac:dyDescent="0.3">
      <c r="A13" s="200"/>
      <c r="B13" s="200"/>
      <c r="C13" s="200"/>
      <c r="D13" s="200"/>
      <c r="E13" s="200"/>
      <c r="F13" s="222">
        <f>COUNTIF($E$3:$E$6, "Sundays")</f>
        <v>1</v>
      </c>
      <c r="G13" s="383" t="s">
        <v>44</v>
      </c>
      <c r="H13" s="384">
        <f>AVERAGEIF($E$3:$E$7,"Sundays",K3:K7)</f>
        <v>5.9416253426807994</v>
      </c>
      <c r="I13" s="385">
        <f>H13*1.2</f>
        <v>7.1299504112169592</v>
      </c>
      <c r="J13" s="386">
        <f>H13*1.35</f>
        <v>8.0211942126190792</v>
      </c>
      <c r="K13" s="387">
        <f>H13*1.6</f>
        <v>9.5066005482892795</v>
      </c>
      <c r="L13" s="232">
        <f>+SUMIF($E$3:$E$7,"Sundays",$J$3:$J$7)/SUMIF($E$3:$E$7,"Sundays",$H$3:$H$7)</f>
        <v>5.9416253426807994</v>
      </c>
      <c r="M13" s="200"/>
      <c r="N13" s="200"/>
    </row>
    <row r="14" spans="1:16" ht="15.75" thickBot="1" x14ac:dyDescent="0.3">
      <c r="A14" s="200"/>
      <c r="B14" s="200"/>
      <c r="C14" s="200"/>
      <c r="D14" s="200"/>
      <c r="E14" s="200"/>
      <c r="F14" s="200"/>
      <c r="G14" s="281" t="s">
        <v>39</v>
      </c>
      <c r="H14" s="229">
        <v>2</v>
      </c>
      <c r="I14" s="230"/>
      <c r="J14" s="230"/>
      <c r="K14" s="231"/>
      <c r="L14" s="232">
        <f>+SUM($J$3:$J$6)/SUM($H$3:$H$6)</f>
        <v>54.323807124997543</v>
      </c>
      <c r="M14" s="200"/>
      <c r="N14" s="200"/>
    </row>
    <row r="15" spans="1:16" x14ac:dyDescent="0.25">
      <c r="A15" s="200"/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</row>
    <row r="16" spans="1:16" ht="15.75" thickBot="1" x14ac:dyDescent="0.3">
      <c r="A16" s="200"/>
      <c r="B16" s="200"/>
      <c r="C16" s="200"/>
      <c r="D16" s="200"/>
      <c r="E16" s="200"/>
      <c r="F16" s="303" t="s">
        <v>63</v>
      </c>
      <c r="G16" s="303"/>
      <c r="H16" s="303"/>
      <c r="I16" s="303"/>
      <c r="J16" s="303"/>
      <c r="K16" s="303"/>
      <c r="L16" s="303"/>
      <c r="M16" s="200"/>
      <c r="N16" s="200"/>
    </row>
    <row r="17" spans="1:14" ht="36" x14ac:dyDescent="0.25">
      <c r="A17" s="200"/>
      <c r="B17" s="200"/>
      <c r="C17" s="200"/>
      <c r="D17" s="200"/>
      <c r="E17" s="200"/>
      <c r="F17" s="206" t="s">
        <v>41</v>
      </c>
      <c r="G17" s="272" t="s">
        <v>33</v>
      </c>
      <c r="H17" s="273" t="s">
        <v>34</v>
      </c>
      <c r="I17" s="273" t="s">
        <v>35</v>
      </c>
      <c r="J17" s="273" t="s">
        <v>36</v>
      </c>
      <c r="K17" s="274" t="s">
        <v>37</v>
      </c>
      <c r="L17" s="209" t="s">
        <v>40</v>
      </c>
      <c r="M17" s="200"/>
      <c r="N17" s="200"/>
    </row>
    <row r="18" spans="1:14" x14ac:dyDescent="0.25">
      <c r="A18" s="200"/>
      <c r="B18" s="200"/>
      <c r="C18" s="200"/>
      <c r="D18" s="200"/>
      <c r="E18" s="200"/>
      <c r="F18" s="210">
        <f>COUNTIF($E$7, "Weekdays")</f>
        <v>1</v>
      </c>
      <c r="G18" s="275" t="s">
        <v>23</v>
      </c>
      <c r="H18" s="276">
        <f>AVERAGEIF($E$7:$E$7,"Weekdays",K7:K7)</f>
        <v>66.415168369766747</v>
      </c>
      <c r="I18" s="277">
        <f>H18*1.2</f>
        <v>79.698202043720087</v>
      </c>
      <c r="J18" s="278">
        <f>H18*1.35</f>
        <v>89.660477299185118</v>
      </c>
      <c r="K18" s="279">
        <f>H18*1.6</f>
        <v>106.2642693916268</v>
      </c>
      <c r="L18" s="216">
        <f>+SUMIF($E$7,"Weekdays",$J$7)/SUMIF($E$7,"Weekdays",$H$7)</f>
        <v>66.415168369766747</v>
      </c>
      <c r="M18" s="200"/>
      <c r="N18" s="200"/>
    </row>
    <row r="19" spans="1:14" x14ac:dyDescent="0.25">
      <c r="A19" s="200"/>
      <c r="B19" s="200"/>
      <c r="C19" s="200"/>
      <c r="D19" s="200"/>
      <c r="E19" s="200"/>
      <c r="F19" s="210">
        <f>COUNTIF($E$3:$E$7, "Saturday")</f>
        <v>0</v>
      </c>
      <c r="G19" s="275" t="s">
        <v>43</v>
      </c>
      <c r="H19" s="276"/>
      <c r="I19" s="277"/>
      <c r="J19" s="278"/>
      <c r="K19" s="279"/>
      <c r="L19" s="216"/>
      <c r="M19" s="200"/>
      <c r="N19" s="200"/>
    </row>
    <row r="20" spans="1:14" ht="15.75" thickBot="1" x14ac:dyDescent="0.3">
      <c r="A20" s="200"/>
      <c r="B20" s="200"/>
      <c r="C20" s="200"/>
      <c r="D20" s="200"/>
      <c r="E20" s="200"/>
      <c r="F20" s="222">
        <f>COUNTIF($E$3:$E$7, "Sunday")</f>
        <v>0</v>
      </c>
      <c r="G20" s="383" t="s">
        <v>44</v>
      </c>
      <c r="H20" s="384"/>
      <c r="I20" s="385"/>
      <c r="J20" s="386"/>
      <c r="K20" s="387"/>
      <c r="L20" s="232"/>
      <c r="M20" s="200"/>
      <c r="N20" s="200"/>
    </row>
    <row r="21" spans="1:14" ht="15.75" thickBot="1" x14ac:dyDescent="0.3">
      <c r="A21" s="200"/>
      <c r="B21" s="200"/>
      <c r="C21" s="200"/>
      <c r="D21" s="200"/>
      <c r="E21" s="200"/>
      <c r="F21" s="200"/>
      <c r="G21" s="281" t="s">
        <v>39</v>
      </c>
      <c r="H21" s="229">
        <v>2</v>
      </c>
      <c r="I21" s="230"/>
      <c r="J21" s="230"/>
      <c r="K21" s="231"/>
      <c r="L21" s="232">
        <f>+SUM($J$7)/SUM($H$7)</f>
        <v>66.415168369766747</v>
      </c>
      <c r="M21" s="200"/>
      <c r="N21" s="200"/>
    </row>
  </sheetData>
  <sortState xmlns:xlrd2="http://schemas.microsoft.com/office/spreadsheetml/2017/richdata2" ref="A3:N7">
    <sortCondition ref="D3:D7"/>
  </sortState>
  <mergeCells count="1">
    <mergeCell ref="A1:N1"/>
  </mergeCells>
  <conditionalFormatting sqref="A6:G6">
    <cfRule type="expression" dxfId="8" priority="4">
      <formula>(ROW(A6)-1)/3=ROUND((ROW(A6)-1)/3,0)</formula>
    </cfRule>
  </conditionalFormatting>
  <conditionalFormatting sqref="L3">
    <cfRule type="cellIs" dxfId="7" priority="14" operator="greaterThan">
      <formula>1.6</formula>
    </cfRule>
    <cfRule type="cellIs" dxfId="6" priority="15" operator="between">
      <formula>1.35</formula>
      <formula>1.6</formula>
    </cfRule>
    <cfRule type="cellIs" dxfId="5" priority="16" operator="between">
      <formula>1.2</formula>
      <formula>1.35</formula>
    </cfRule>
  </conditionalFormatting>
  <conditionalFormatting sqref="L6">
    <cfRule type="cellIs" dxfId="4" priority="1" operator="greaterThan">
      <formula>1.6</formula>
    </cfRule>
    <cfRule type="cellIs" dxfId="3" priority="2" operator="between">
      <formula>1.35</formula>
      <formula>1.6</formula>
    </cfRule>
    <cfRule type="cellIs" dxfId="2" priority="3" operator="between">
      <formula>1.2</formula>
      <formula>1.35</formula>
    </cfRule>
  </conditionalFormatting>
  <conditionalFormatting sqref="M3:M7">
    <cfRule type="cellIs" dxfId="1" priority="13" operator="lessThan">
      <formula>$H$14</formula>
    </cfRule>
  </conditionalFormatting>
  <conditionalFormatting sqref="O6">
    <cfRule type="cellIs" dxfId="0" priority="5" operator="lessThan">
      <formula>$G$27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1A7E-37E3-40EC-BF26-90385167816C}">
  <dimension ref="A1:N3"/>
  <sheetViews>
    <sheetView workbookViewId="0">
      <selection activeCell="I19" sqref="I19"/>
    </sheetView>
  </sheetViews>
  <sheetFormatPr defaultRowHeight="15" x14ac:dyDescent="0.25"/>
  <cols>
    <col min="1" max="1" width="20.7109375" customWidth="1"/>
    <col min="2" max="2" width="10.7109375" customWidth="1"/>
    <col min="3" max="3" width="14.42578125" bestFit="1" customWidth="1"/>
    <col min="4" max="4" width="8.7109375" customWidth="1"/>
    <col min="5" max="5" width="10.7109375" customWidth="1"/>
    <col min="6" max="6" width="9.7109375" customWidth="1"/>
    <col min="7" max="11" width="11.7109375" customWidth="1"/>
    <col min="12" max="12" width="14.140625" customWidth="1"/>
    <col min="13" max="13" width="12.5703125" customWidth="1"/>
    <col min="14" max="14" width="35.7109375" customWidth="1"/>
  </cols>
  <sheetData>
    <row r="1" spans="1:14" ht="37.5" thickBot="1" x14ac:dyDescent="0.75">
      <c r="A1" s="470" t="s">
        <v>85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</row>
    <row r="2" spans="1:14" s="4" customFormat="1" ht="45.75" thickBot="1" x14ac:dyDescent="0.3">
      <c r="A2" s="61" t="s">
        <v>7</v>
      </c>
      <c r="B2" s="87" t="s">
        <v>49</v>
      </c>
      <c r="C2" s="88" t="s">
        <v>50</v>
      </c>
      <c r="D2" s="89" t="s">
        <v>0</v>
      </c>
      <c r="E2" s="89" t="s">
        <v>1</v>
      </c>
      <c r="F2" s="90" t="s">
        <v>2</v>
      </c>
      <c r="G2" s="90" t="s">
        <v>27</v>
      </c>
      <c r="H2" s="91" t="s">
        <v>29</v>
      </c>
      <c r="I2" s="91" t="s">
        <v>56</v>
      </c>
      <c r="J2" s="90" t="s">
        <v>28</v>
      </c>
      <c r="K2" s="92" t="s">
        <v>11</v>
      </c>
      <c r="L2" s="93" t="s">
        <v>48</v>
      </c>
      <c r="M2" s="93" t="s">
        <v>31</v>
      </c>
      <c r="N2" s="95" t="s">
        <v>32</v>
      </c>
    </row>
    <row r="3" spans="1:14" ht="15.75" thickBot="1" x14ac:dyDescent="0.3">
      <c r="A3" s="388" t="s">
        <v>77</v>
      </c>
      <c r="B3" s="389"/>
      <c r="C3" s="390"/>
      <c r="D3" s="389" t="s">
        <v>38</v>
      </c>
      <c r="E3" s="390"/>
      <c r="F3" s="391">
        <v>845633</v>
      </c>
      <c r="G3" s="391">
        <v>593242</v>
      </c>
      <c r="H3" s="392">
        <v>82686</v>
      </c>
      <c r="I3" s="393">
        <v>22836</v>
      </c>
      <c r="J3" s="391">
        <f>F3-G3</f>
        <v>252391</v>
      </c>
      <c r="K3" s="394">
        <f>J3/H3</f>
        <v>3.0524030670246476</v>
      </c>
      <c r="L3" s="395" t="str">
        <f>+IF(E3="Weekdays",K3/$H$12,IF(E3="Saturdays",K3/$H$13,IF(E3="Sundays",K3/$H$14,"NA")))</f>
        <v>NA</v>
      </c>
      <c r="M3" s="396">
        <f>H3/I3</f>
        <v>3.6208617971623753</v>
      </c>
      <c r="N3" s="397"/>
    </row>
  </sheetData>
  <mergeCells count="1">
    <mergeCell ref="A1:N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F75E-2FB1-4263-8E71-4C64139B52E2}">
  <dimension ref="A1:S345"/>
  <sheetViews>
    <sheetView zoomScale="90" zoomScaleNormal="90" workbookViewId="0">
      <pane ySplit="2" topLeftCell="A3" activePane="bottomLeft" state="frozen"/>
      <selection pane="bottomLeft" activeCell="M306" sqref="M306"/>
    </sheetView>
  </sheetViews>
  <sheetFormatPr defaultColWidth="9.140625" defaultRowHeight="15" x14ac:dyDescent="0.25"/>
  <cols>
    <col min="1" max="1" width="24.5703125" style="12" customWidth="1"/>
    <col min="2" max="2" width="10.42578125" style="12" customWidth="1"/>
    <col min="3" max="3" width="13.5703125" style="12" customWidth="1"/>
    <col min="4" max="4" width="18.140625" style="12" customWidth="1"/>
    <col min="5" max="5" width="12.140625" style="12" customWidth="1"/>
    <col min="6" max="6" width="19.28515625" style="15" customWidth="1"/>
    <col min="7" max="7" width="19.140625" style="15" bestFit="1" customWidth="1"/>
    <col min="8" max="8" width="12.140625" style="16" customWidth="1"/>
    <col min="9" max="9" width="12" style="16" customWidth="1"/>
    <col min="10" max="10" width="13.85546875" style="12" customWidth="1"/>
    <col min="11" max="11" width="14.5703125" style="12" customWidth="1"/>
    <col min="12" max="12" width="11.7109375" style="12" customWidth="1"/>
    <col min="13" max="13" width="12.42578125" style="12" customWidth="1"/>
    <col min="14" max="14" width="41" style="12" customWidth="1"/>
    <col min="15" max="16384" width="9.140625" style="12"/>
  </cols>
  <sheetData>
    <row r="1" spans="1:15" ht="37.5" thickBot="1" x14ac:dyDescent="0.75">
      <c r="A1" s="134" t="s">
        <v>86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5" s="11" customFormat="1" ht="38.25" customHeight="1" thickBot="1" x14ac:dyDescent="0.3">
      <c r="A2" s="152" t="s">
        <v>7</v>
      </c>
      <c r="B2" s="152" t="s">
        <v>49</v>
      </c>
      <c r="C2" s="152" t="s">
        <v>50</v>
      </c>
      <c r="D2" s="152" t="s">
        <v>0</v>
      </c>
      <c r="E2" s="152" t="s">
        <v>57</v>
      </c>
      <c r="F2" s="152" t="s">
        <v>2</v>
      </c>
      <c r="G2" s="152" t="s">
        <v>4</v>
      </c>
      <c r="H2" s="152" t="s">
        <v>3</v>
      </c>
      <c r="I2" s="152" t="s">
        <v>5</v>
      </c>
      <c r="J2" s="152" t="s">
        <v>21</v>
      </c>
      <c r="K2" s="152" t="s">
        <v>11</v>
      </c>
      <c r="L2" s="152" t="s">
        <v>64</v>
      </c>
      <c r="M2" s="152" t="s">
        <v>22</v>
      </c>
      <c r="N2" s="152" t="s">
        <v>20</v>
      </c>
      <c r="O2" s="421"/>
    </row>
    <row r="3" spans="1:15" x14ac:dyDescent="0.25">
      <c r="A3" s="399" t="s">
        <v>24</v>
      </c>
      <c r="B3" s="171">
        <v>682</v>
      </c>
      <c r="C3" s="171"/>
      <c r="D3" s="172" t="s">
        <v>76</v>
      </c>
      <c r="E3" s="171" t="s">
        <v>76</v>
      </c>
      <c r="F3" s="173">
        <v>1083133.8700000001</v>
      </c>
      <c r="G3" s="173">
        <v>513006</v>
      </c>
      <c r="H3" s="174">
        <v>187997</v>
      </c>
      <c r="I3" s="174">
        <v>4458</v>
      </c>
      <c r="J3" s="293">
        <f t="shared" ref="J3" si="0">+F3-G3</f>
        <v>570127.87000000011</v>
      </c>
      <c r="K3" s="251">
        <f t="shared" ref="K3" si="1">J3/H3</f>
        <v>3.0326434464379757</v>
      </c>
      <c r="L3" s="400">
        <f>G3/F3</f>
        <v>0.47363120497746042</v>
      </c>
      <c r="M3" s="378">
        <f>H3/I3</f>
        <v>42.170704351727231</v>
      </c>
      <c r="N3" s="257" t="s">
        <v>153</v>
      </c>
    </row>
    <row r="4" spans="1:15" x14ac:dyDescent="0.25">
      <c r="A4" s="172" t="s">
        <v>8</v>
      </c>
      <c r="B4" s="171"/>
      <c r="C4" s="171" t="s">
        <v>75</v>
      </c>
      <c r="D4" s="172" t="s">
        <v>76</v>
      </c>
      <c r="E4" s="171" t="s">
        <v>76</v>
      </c>
      <c r="F4" s="173">
        <v>1506536.08</v>
      </c>
      <c r="G4" s="173">
        <v>449646.58999999997</v>
      </c>
      <c r="H4" s="174">
        <v>212229</v>
      </c>
      <c r="I4" s="174">
        <v>8709.0600000000013</v>
      </c>
      <c r="J4" s="201">
        <f t="shared" ref="J4" si="2">+F4-G4</f>
        <v>1056889.4900000002</v>
      </c>
      <c r="K4" s="202">
        <f t="shared" ref="K4" si="3">J4/H4</f>
        <v>4.9799484990269951</v>
      </c>
      <c r="L4" s="404">
        <f>G4/F4</f>
        <v>0.29846387084204445</v>
      </c>
      <c r="M4" s="369">
        <f>H4/I4</f>
        <v>24.368760807710586</v>
      </c>
      <c r="N4" s="263"/>
    </row>
    <row r="5" spans="1:15" x14ac:dyDescent="0.25">
      <c r="A5" s="172" t="s">
        <v>77</v>
      </c>
      <c r="B5" s="171"/>
      <c r="C5" s="171" t="s">
        <v>75</v>
      </c>
      <c r="D5" s="172" t="s">
        <v>76</v>
      </c>
      <c r="E5" s="171" t="s">
        <v>76</v>
      </c>
      <c r="F5" s="173">
        <v>4016429.6058824398</v>
      </c>
      <c r="G5" s="173">
        <v>745025.19739101804</v>
      </c>
      <c r="H5" s="174">
        <v>523563</v>
      </c>
      <c r="I5" s="174">
        <v>14970.41</v>
      </c>
      <c r="J5" s="201">
        <f t="shared" ref="J5" si="4">+F5-G5</f>
        <v>3271404.4084914215</v>
      </c>
      <c r="K5" s="202">
        <f t="shared" ref="K5" si="5">J5/H5</f>
        <v>6.248349116517824</v>
      </c>
      <c r="L5" s="404">
        <f>G5/F5</f>
        <v>0.18549439937895548</v>
      </c>
      <c r="M5" s="369">
        <f>H5/I5</f>
        <v>34.973190447021828</v>
      </c>
      <c r="N5" s="263"/>
    </row>
    <row r="6" spans="1:15" x14ac:dyDescent="0.25">
      <c r="A6" s="172" t="s">
        <v>101</v>
      </c>
      <c r="B6" s="171">
        <v>969</v>
      </c>
      <c r="C6" s="171"/>
      <c r="D6" s="172" t="s">
        <v>76</v>
      </c>
      <c r="E6" s="171" t="s">
        <v>76</v>
      </c>
      <c r="F6" s="173">
        <v>61669.83</v>
      </c>
      <c r="G6" s="173">
        <v>63433.88</v>
      </c>
      <c r="H6" s="174">
        <v>17313</v>
      </c>
      <c r="I6" s="174">
        <v>408.34</v>
      </c>
      <c r="J6" s="201">
        <f t="shared" ref="J6" si="6">+F6-G6</f>
        <v>-1764.0499999999956</v>
      </c>
      <c r="K6" s="202">
        <f t="shared" ref="K6" si="7">J6/H6</f>
        <v>-0.10189164211863892</v>
      </c>
      <c r="L6" s="404">
        <f>G6/F6</f>
        <v>1.0286047488699093</v>
      </c>
      <c r="M6" s="369">
        <f>H6/I6</f>
        <v>42.398491453200769</v>
      </c>
      <c r="N6" s="263"/>
    </row>
    <row r="7" spans="1:15" ht="15" customHeight="1" x14ac:dyDescent="0.25">
      <c r="A7" s="217" t="s">
        <v>101</v>
      </c>
      <c r="B7" s="401">
        <v>781</v>
      </c>
      <c r="C7" s="401"/>
      <c r="D7" s="200" t="s">
        <v>46</v>
      </c>
      <c r="E7" s="401" t="s">
        <v>23</v>
      </c>
      <c r="F7" s="402">
        <v>1405733.9877523249</v>
      </c>
      <c r="G7" s="402">
        <v>397700</v>
      </c>
      <c r="H7" s="403">
        <v>141775</v>
      </c>
      <c r="I7" s="403">
        <v>4767</v>
      </c>
      <c r="J7" s="201">
        <f t="shared" ref="J7:J70" si="8">+F7-G7</f>
        <v>1008033.9877523249</v>
      </c>
      <c r="K7" s="202">
        <f t="shared" ref="K7:K70" si="9">J7/H7</f>
        <v>7.1100968982706743</v>
      </c>
      <c r="L7" s="404">
        <f t="shared" ref="L7:L70" si="10">G7/F7</f>
        <v>0.28291270145349179</v>
      </c>
      <c r="M7" s="369">
        <f t="shared" ref="M7:M70" si="11">H7/I7</f>
        <v>29.740927207887559</v>
      </c>
      <c r="N7" s="263"/>
    </row>
    <row r="8" spans="1:15" ht="15" customHeight="1" x14ac:dyDescent="0.25">
      <c r="A8" s="217" t="s">
        <v>101</v>
      </c>
      <c r="B8" s="401">
        <v>784</v>
      </c>
      <c r="C8" s="401"/>
      <c r="D8" s="200" t="s">
        <v>46</v>
      </c>
      <c r="E8" s="401" t="s">
        <v>23</v>
      </c>
      <c r="F8" s="402">
        <v>439804.14062145608</v>
      </c>
      <c r="G8" s="402">
        <v>69225</v>
      </c>
      <c r="H8" s="403">
        <v>25098</v>
      </c>
      <c r="I8" s="403">
        <v>1605</v>
      </c>
      <c r="J8" s="201">
        <f t="shared" si="8"/>
        <v>370579.14062145608</v>
      </c>
      <c r="K8" s="202">
        <f t="shared" si="9"/>
        <v>14.765285704895055</v>
      </c>
      <c r="L8" s="404">
        <f t="shared" si="10"/>
        <v>0.15739960952205465</v>
      </c>
      <c r="M8" s="369">
        <f t="shared" si="11"/>
        <v>15.637383177570094</v>
      </c>
      <c r="N8" s="263"/>
    </row>
    <row r="9" spans="1:15" ht="15" customHeight="1" x14ac:dyDescent="0.25">
      <c r="A9" s="217" t="s">
        <v>101</v>
      </c>
      <c r="B9" s="401">
        <v>785</v>
      </c>
      <c r="C9" s="401"/>
      <c r="D9" s="200" t="s">
        <v>46</v>
      </c>
      <c r="E9" s="401" t="s">
        <v>23</v>
      </c>
      <c r="F9" s="402">
        <v>528823.08346563845</v>
      </c>
      <c r="G9" s="402">
        <v>129331</v>
      </c>
      <c r="H9" s="403">
        <v>51205</v>
      </c>
      <c r="I9" s="403">
        <v>1806</v>
      </c>
      <c r="J9" s="201">
        <f t="shared" si="8"/>
        <v>399492.08346563845</v>
      </c>
      <c r="K9" s="202">
        <f t="shared" si="9"/>
        <v>7.8018178589129663</v>
      </c>
      <c r="L9" s="404">
        <f t="shared" si="10"/>
        <v>0.24456383248709601</v>
      </c>
      <c r="M9" s="369">
        <f t="shared" si="11"/>
        <v>28.352713178294575</v>
      </c>
      <c r="N9" s="263"/>
    </row>
    <row r="10" spans="1:15" ht="15" customHeight="1" x14ac:dyDescent="0.25">
      <c r="A10" s="217" t="s">
        <v>101</v>
      </c>
      <c r="B10" s="401">
        <v>789</v>
      </c>
      <c r="C10" s="401"/>
      <c r="D10" s="200" t="s">
        <v>46</v>
      </c>
      <c r="E10" s="401" t="s">
        <v>23</v>
      </c>
      <c r="F10" s="258">
        <v>197147.78816058062</v>
      </c>
      <c r="G10" s="402">
        <v>63696</v>
      </c>
      <c r="H10" s="403">
        <v>24678</v>
      </c>
      <c r="I10" s="403">
        <v>640</v>
      </c>
      <c r="J10" s="201">
        <f t="shared" si="8"/>
        <v>133451.78816058062</v>
      </c>
      <c r="K10" s="202">
        <f t="shared" si="9"/>
        <v>5.4077229986457827</v>
      </c>
      <c r="L10" s="404">
        <f t="shared" si="10"/>
        <v>0.32308757097552826</v>
      </c>
      <c r="M10" s="369">
        <f t="shared" si="11"/>
        <v>38.559375000000003</v>
      </c>
      <c r="N10" s="263"/>
    </row>
    <row r="11" spans="1:15" ht="15" customHeight="1" x14ac:dyDescent="0.25">
      <c r="A11" s="217" t="s">
        <v>77</v>
      </c>
      <c r="B11" s="401">
        <v>94</v>
      </c>
      <c r="C11" s="401"/>
      <c r="D11" s="200" t="s">
        <v>46</v>
      </c>
      <c r="E11" s="401" t="s">
        <v>23</v>
      </c>
      <c r="F11" s="258">
        <v>6147387.909</v>
      </c>
      <c r="G11" s="405">
        <v>499927.51160000003</v>
      </c>
      <c r="H11" s="379">
        <v>312952</v>
      </c>
      <c r="I11" s="403">
        <v>12820.51</v>
      </c>
      <c r="J11" s="201">
        <f t="shared" si="8"/>
        <v>5647460.3974000001</v>
      </c>
      <c r="K11" s="202">
        <f t="shared" si="9"/>
        <v>18.045771867251208</v>
      </c>
      <c r="L11" s="404">
        <f t="shared" si="10"/>
        <v>8.132356685480803E-2</v>
      </c>
      <c r="M11" s="369">
        <f t="shared" si="11"/>
        <v>24.410261370257501</v>
      </c>
      <c r="N11" s="263"/>
    </row>
    <row r="12" spans="1:15" ht="15" customHeight="1" x14ac:dyDescent="0.25">
      <c r="A12" s="217" t="s">
        <v>77</v>
      </c>
      <c r="B12" s="401">
        <v>113</v>
      </c>
      <c r="C12" s="401"/>
      <c r="D12" s="200" t="s">
        <v>46</v>
      </c>
      <c r="E12" s="401" t="s">
        <v>23</v>
      </c>
      <c r="F12" s="258">
        <v>681656.0122</v>
      </c>
      <c r="G12" s="402">
        <v>59560.314989999999</v>
      </c>
      <c r="H12" s="403">
        <v>42776</v>
      </c>
      <c r="I12" s="403">
        <v>1422.94</v>
      </c>
      <c r="J12" s="201">
        <f t="shared" si="8"/>
        <v>622095.69721000001</v>
      </c>
      <c r="K12" s="202">
        <f t="shared" si="9"/>
        <v>14.543101206517674</v>
      </c>
      <c r="L12" s="404">
        <f t="shared" si="10"/>
        <v>8.7375910905227686E-2</v>
      </c>
      <c r="M12" s="369">
        <f t="shared" si="11"/>
        <v>30.061703234149014</v>
      </c>
      <c r="N12" s="263"/>
    </row>
    <row r="13" spans="1:15" ht="15" customHeight="1" x14ac:dyDescent="0.25">
      <c r="A13" s="217" t="s">
        <v>77</v>
      </c>
      <c r="B13" s="200">
        <v>114</v>
      </c>
      <c r="C13" s="200"/>
      <c r="D13" s="200" t="s">
        <v>46</v>
      </c>
      <c r="E13" s="200" t="s">
        <v>23</v>
      </c>
      <c r="F13" s="406">
        <v>782447.77190000005</v>
      </c>
      <c r="G13" s="406">
        <v>71985.469150000004</v>
      </c>
      <c r="H13" s="407">
        <v>50922</v>
      </c>
      <c r="I13" s="407">
        <v>1619.3200000000099</v>
      </c>
      <c r="J13" s="201">
        <f t="shared" si="8"/>
        <v>710462.30275000003</v>
      </c>
      <c r="K13" s="202">
        <f t="shared" si="9"/>
        <v>13.951971696908998</v>
      </c>
      <c r="L13" s="404">
        <f t="shared" si="10"/>
        <v>9.2000350355908533E-2</v>
      </c>
      <c r="M13" s="369">
        <f t="shared" si="11"/>
        <v>31.446533112664383</v>
      </c>
      <c r="N13" s="263"/>
    </row>
    <row r="14" spans="1:15" ht="15" customHeight="1" x14ac:dyDescent="0.25">
      <c r="A14" s="217" t="s">
        <v>77</v>
      </c>
      <c r="B14" s="200">
        <v>250</v>
      </c>
      <c r="C14" s="200"/>
      <c r="D14" s="200" t="s">
        <v>46</v>
      </c>
      <c r="E14" s="200" t="s">
        <v>23</v>
      </c>
      <c r="F14" s="406">
        <v>2248983.8679999998</v>
      </c>
      <c r="G14" s="406">
        <v>242199.5191</v>
      </c>
      <c r="H14" s="407">
        <v>117999</v>
      </c>
      <c r="I14" s="407">
        <v>4519.9199999999901</v>
      </c>
      <c r="J14" s="201">
        <f t="shared" si="8"/>
        <v>2006784.3488999999</v>
      </c>
      <c r="K14" s="202">
        <f t="shared" si="9"/>
        <v>17.006791149924997</v>
      </c>
      <c r="L14" s="404">
        <f t="shared" si="10"/>
        <v>0.10769286634118268</v>
      </c>
      <c r="M14" s="369">
        <f t="shared" si="11"/>
        <v>26.106435512133014</v>
      </c>
      <c r="N14" s="263"/>
    </row>
    <row r="15" spans="1:15" ht="15" customHeight="1" x14ac:dyDescent="0.25">
      <c r="A15" s="217" t="s">
        <v>77</v>
      </c>
      <c r="B15" s="200">
        <v>252</v>
      </c>
      <c r="C15" s="200"/>
      <c r="D15" s="200" t="s">
        <v>46</v>
      </c>
      <c r="E15" s="200" t="s">
        <v>23</v>
      </c>
      <c r="F15" s="406">
        <v>323380.52429999999</v>
      </c>
      <c r="G15" s="406">
        <v>45749.992830000003</v>
      </c>
      <c r="H15" s="407">
        <v>19378</v>
      </c>
      <c r="I15" s="407">
        <v>540.52</v>
      </c>
      <c r="J15" s="201">
        <f t="shared" si="8"/>
        <v>277630.53146999999</v>
      </c>
      <c r="K15" s="202">
        <f t="shared" si="9"/>
        <v>14.327099363711424</v>
      </c>
      <c r="L15" s="404">
        <f t="shared" si="10"/>
        <v>0.14147417482556171</v>
      </c>
      <c r="M15" s="369">
        <f t="shared" si="11"/>
        <v>35.850662325168358</v>
      </c>
      <c r="N15" s="263"/>
    </row>
    <row r="16" spans="1:15" ht="15" customHeight="1" x14ac:dyDescent="0.25">
      <c r="A16" s="217" t="s">
        <v>77</v>
      </c>
      <c r="B16" s="200">
        <v>264</v>
      </c>
      <c r="C16" s="200"/>
      <c r="D16" s="200" t="s">
        <v>46</v>
      </c>
      <c r="E16" s="200" t="s">
        <v>23</v>
      </c>
      <c r="F16" s="406">
        <v>409872.0085</v>
      </c>
      <c r="G16" s="406">
        <v>35264.413200000003</v>
      </c>
      <c r="H16" s="407">
        <v>16880</v>
      </c>
      <c r="I16" s="407">
        <v>865.25999999999704</v>
      </c>
      <c r="J16" s="201">
        <f t="shared" si="8"/>
        <v>374607.59529999999</v>
      </c>
      <c r="K16" s="202">
        <f t="shared" si="9"/>
        <v>22.192393086492888</v>
      </c>
      <c r="L16" s="404">
        <f t="shared" si="10"/>
        <v>8.6037622644826214E-2</v>
      </c>
      <c r="M16" s="369">
        <f t="shared" si="11"/>
        <v>19.508587014307906</v>
      </c>
      <c r="N16" s="263"/>
    </row>
    <row r="17" spans="1:14" ht="15" customHeight="1" x14ac:dyDescent="0.25">
      <c r="A17" s="217" t="s">
        <v>77</v>
      </c>
      <c r="B17" s="200">
        <v>270</v>
      </c>
      <c r="C17" s="200"/>
      <c r="D17" s="200" t="s">
        <v>46</v>
      </c>
      <c r="E17" s="200" t="s">
        <v>23</v>
      </c>
      <c r="F17" s="406">
        <v>1095803.0660000001</v>
      </c>
      <c r="G17" s="406">
        <v>106237.14659999999</v>
      </c>
      <c r="H17" s="407">
        <v>50049</v>
      </c>
      <c r="I17" s="407">
        <v>2113.0099999999902</v>
      </c>
      <c r="J17" s="201">
        <f t="shared" si="8"/>
        <v>989565.91940000013</v>
      </c>
      <c r="K17" s="202">
        <f t="shared" si="9"/>
        <v>19.771941884952749</v>
      </c>
      <c r="L17" s="404">
        <f t="shared" si="10"/>
        <v>9.6949123338189294E-2</v>
      </c>
      <c r="M17" s="369">
        <f t="shared" si="11"/>
        <v>23.686116014595402</v>
      </c>
      <c r="N17" s="263"/>
    </row>
    <row r="18" spans="1:14" ht="15" customHeight="1" x14ac:dyDescent="0.25">
      <c r="A18" s="217" t="s">
        <v>77</v>
      </c>
      <c r="B18" s="200">
        <v>275</v>
      </c>
      <c r="C18" s="200"/>
      <c r="D18" s="200" t="s">
        <v>46</v>
      </c>
      <c r="E18" s="200" t="s">
        <v>23</v>
      </c>
      <c r="F18" s="406">
        <v>307533.49890000001</v>
      </c>
      <c r="G18" s="406">
        <v>30375.921829999999</v>
      </c>
      <c r="H18" s="407">
        <v>12605</v>
      </c>
      <c r="I18" s="407">
        <v>576.18999999999903</v>
      </c>
      <c r="J18" s="201">
        <f t="shared" si="8"/>
        <v>277157.57707</v>
      </c>
      <c r="K18" s="202">
        <f t="shared" si="9"/>
        <v>21.987907740579136</v>
      </c>
      <c r="L18" s="404">
        <f t="shared" si="10"/>
        <v>9.8772725373495879E-2</v>
      </c>
      <c r="M18" s="369">
        <f t="shared" si="11"/>
        <v>21.876464360714383</v>
      </c>
      <c r="N18" s="263"/>
    </row>
    <row r="19" spans="1:14" ht="15" customHeight="1" x14ac:dyDescent="0.25">
      <c r="A19" s="217" t="s">
        <v>77</v>
      </c>
      <c r="B19" s="200">
        <v>294</v>
      </c>
      <c r="C19" s="200"/>
      <c r="D19" s="200" t="s">
        <v>46</v>
      </c>
      <c r="E19" s="200" t="s">
        <v>23</v>
      </c>
      <c r="F19" s="406">
        <v>223579.3529</v>
      </c>
      <c r="G19" s="406">
        <v>8431.4758070000007</v>
      </c>
      <c r="H19" s="407">
        <v>6282</v>
      </c>
      <c r="I19" s="407">
        <v>565.31000000000097</v>
      </c>
      <c r="J19" s="201">
        <f t="shared" si="8"/>
        <v>215147.87709299999</v>
      </c>
      <c r="K19" s="202">
        <f t="shared" si="9"/>
        <v>34.248308992836677</v>
      </c>
      <c r="L19" s="404">
        <f t="shared" si="10"/>
        <v>3.7711334690064761E-2</v>
      </c>
      <c r="M19" s="369">
        <f t="shared" si="11"/>
        <v>11.112486954060586</v>
      </c>
      <c r="N19" s="263"/>
    </row>
    <row r="20" spans="1:14" ht="15" customHeight="1" x14ac:dyDescent="0.25">
      <c r="A20" s="217" t="s">
        <v>77</v>
      </c>
      <c r="B20" s="200">
        <v>351</v>
      </c>
      <c r="C20" s="200"/>
      <c r="D20" s="200" t="s">
        <v>46</v>
      </c>
      <c r="E20" s="200" t="s">
        <v>23</v>
      </c>
      <c r="F20" s="406">
        <v>91594.804019999996</v>
      </c>
      <c r="G20" s="406">
        <v>1111.146092</v>
      </c>
      <c r="H20" s="407">
        <v>2273</v>
      </c>
      <c r="I20" s="407">
        <v>135.09</v>
      </c>
      <c r="J20" s="201">
        <f t="shared" si="8"/>
        <v>90483.657928000001</v>
      </c>
      <c r="K20" s="202">
        <f t="shared" si="9"/>
        <v>39.808032524417072</v>
      </c>
      <c r="L20" s="404">
        <f t="shared" si="10"/>
        <v>1.2131103984428833E-2</v>
      </c>
      <c r="M20" s="369">
        <f t="shared" si="11"/>
        <v>16.825819823821156</v>
      </c>
      <c r="N20" s="263"/>
    </row>
    <row r="21" spans="1:14" x14ac:dyDescent="0.25">
      <c r="A21" s="217" t="s">
        <v>77</v>
      </c>
      <c r="B21" s="200">
        <v>355</v>
      </c>
      <c r="C21" s="200"/>
      <c r="D21" s="200" t="s">
        <v>46</v>
      </c>
      <c r="E21" s="200" t="s">
        <v>23</v>
      </c>
      <c r="F21" s="202">
        <v>1363839.5430000001</v>
      </c>
      <c r="G21" s="202">
        <v>169762.71969999999</v>
      </c>
      <c r="H21" s="201">
        <v>81347</v>
      </c>
      <c r="I21" s="379">
        <v>2354.6800000000098</v>
      </c>
      <c r="J21" s="408">
        <f t="shared" si="8"/>
        <v>1194076.8233</v>
      </c>
      <c r="K21" s="202">
        <f t="shared" si="9"/>
        <v>14.678805896959938</v>
      </c>
      <c r="L21" s="315">
        <f t="shared" si="10"/>
        <v>0.12447411469429727</v>
      </c>
      <c r="M21" s="369">
        <f t="shared" si="11"/>
        <v>34.5469448077869</v>
      </c>
      <c r="N21" s="263"/>
    </row>
    <row r="22" spans="1:14" x14ac:dyDescent="0.25">
      <c r="A22" s="217" t="s">
        <v>77</v>
      </c>
      <c r="B22" s="200">
        <v>363</v>
      </c>
      <c r="C22" s="200"/>
      <c r="D22" s="200" t="s">
        <v>46</v>
      </c>
      <c r="E22" s="200" t="s">
        <v>23</v>
      </c>
      <c r="F22" s="202">
        <v>737444.03399999999</v>
      </c>
      <c r="G22" s="202">
        <v>64258.984680000001</v>
      </c>
      <c r="H22" s="201">
        <v>29747</v>
      </c>
      <c r="I22" s="379">
        <v>1310.97</v>
      </c>
      <c r="J22" s="408">
        <f t="shared" si="8"/>
        <v>673185.04931999999</v>
      </c>
      <c r="K22" s="202">
        <f t="shared" si="9"/>
        <v>22.630350936901198</v>
      </c>
      <c r="L22" s="315">
        <f t="shared" si="10"/>
        <v>8.7137439205318731E-2</v>
      </c>
      <c r="M22" s="369">
        <f t="shared" si="11"/>
        <v>22.69083197937405</v>
      </c>
      <c r="N22" s="263"/>
    </row>
    <row r="23" spans="1:14" x14ac:dyDescent="0.25">
      <c r="A23" s="217" t="s">
        <v>77</v>
      </c>
      <c r="B23" s="200">
        <v>467</v>
      </c>
      <c r="C23" s="200"/>
      <c r="D23" s="200" t="s">
        <v>46</v>
      </c>
      <c r="E23" s="200" t="s">
        <v>23</v>
      </c>
      <c r="F23" s="202">
        <v>711894.92024999997</v>
      </c>
      <c r="G23" s="202">
        <v>5490.5488590000004</v>
      </c>
      <c r="H23" s="201">
        <v>28466</v>
      </c>
      <c r="I23" s="379">
        <v>1752.44</v>
      </c>
      <c r="J23" s="408">
        <f t="shared" si="8"/>
        <v>706404.37139099999</v>
      </c>
      <c r="K23" s="202">
        <f t="shared" si="9"/>
        <v>24.815723016616314</v>
      </c>
      <c r="L23" s="315">
        <f t="shared" si="10"/>
        <v>7.7125832799479098E-3</v>
      </c>
      <c r="M23" s="369">
        <f t="shared" si="11"/>
        <v>16.243637442651387</v>
      </c>
      <c r="N23" s="263"/>
    </row>
    <row r="24" spans="1:14" x14ac:dyDescent="0.25">
      <c r="A24" s="217" t="s">
        <v>77</v>
      </c>
      <c r="B24" s="200">
        <v>578</v>
      </c>
      <c r="C24" s="200"/>
      <c r="D24" s="200" t="s">
        <v>46</v>
      </c>
      <c r="E24" s="200" t="s">
        <v>23</v>
      </c>
      <c r="F24" s="202">
        <v>514659.53869999998</v>
      </c>
      <c r="G24" s="202">
        <v>36529.961730000003</v>
      </c>
      <c r="H24" s="201">
        <v>16762</v>
      </c>
      <c r="I24" s="379">
        <v>1057.54</v>
      </c>
      <c r="J24" s="408">
        <f t="shared" si="8"/>
        <v>478129.57696999999</v>
      </c>
      <c r="K24" s="202">
        <f t="shared" si="9"/>
        <v>28.524613827108936</v>
      </c>
      <c r="L24" s="315">
        <f t="shared" si="10"/>
        <v>7.0978887950415834E-2</v>
      </c>
      <c r="M24" s="369">
        <f t="shared" si="11"/>
        <v>15.849991489683607</v>
      </c>
      <c r="N24" s="263"/>
    </row>
    <row r="25" spans="1:14" x14ac:dyDescent="0.25">
      <c r="A25" s="217" t="s">
        <v>77</v>
      </c>
      <c r="B25" s="200">
        <v>667</v>
      </c>
      <c r="C25" s="200"/>
      <c r="D25" s="200" t="s">
        <v>46</v>
      </c>
      <c r="E25" s="200" t="s">
        <v>23</v>
      </c>
      <c r="F25" s="202">
        <v>359289.94579999999</v>
      </c>
      <c r="G25" s="202">
        <v>31178.263060000001</v>
      </c>
      <c r="H25" s="201">
        <v>14961</v>
      </c>
      <c r="I25" s="379">
        <v>751.41000000000395</v>
      </c>
      <c r="J25" s="408">
        <f t="shared" si="8"/>
        <v>328111.68273999996</v>
      </c>
      <c r="K25" s="202">
        <f t="shared" si="9"/>
        <v>21.931133128801548</v>
      </c>
      <c r="L25" s="315">
        <f t="shared" si="10"/>
        <v>8.6777443745546648E-2</v>
      </c>
      <c r="M25" s="369">
        <f t="shared" si="11"/>
        <v>19.910568131911901</v>
      </c>
      <c r="N25" s="263"/>
    </row>
    <row r="26" spans="1:14" x14ac:dyDescent="0.25">
      <c r="A26" s="217" t="s">
        <v>77</v>
      </c>
      <c r="B26" s="200">
        <v>673</v>
      </c>
      <c r="C26" s="200"/>
      <c r="D26" s="200" t="s">
        <v>46</v>
      </c>
      <c r="E26" s="200" t="s">
        <v>23</v>
      </c>
      <c r="F26" s="202">
        <v>957540.81270000001</v>
      </c>
      <c r="G26" s="202">
        <v>58849.385090000003</v>
      </c>
      <c r="H26" s="201">
        <v>28020</v>
      </c>
      <c r="I26" s="379">
        <v>1886.39</v>
      </c>
      <c r="J26" s="408">
        <f t="shared" si="8"/>
        <v>898691.42761000001</v>
      </c>
      <c r="K26" s="202">
        <f t="shared" si="9"/>
        <v>32.073212976802282</v>
      </c>
      <c r="L26" s="315">
        <f t="shared" si="10"/>
        <v>6.1458879151125717E-2</v>
      </c>
      <c r="M26" s="369">
        <f t="shared" si="11"/>
        <v>14.853768308780262</v>
      </c>
      <c r="N26" s="263"/>
    </row>
    <row r="27" spans="1:14" x14ac:dyDescent="0.25">
      <c r="A27" s="217" t="s">
        <v>77</v>
      </c>
      <c r="B27" s="200">
        <v>755</v>
      </c>
      <c r="C27" s="200"/>
      <c r="D27" s="200" t="s">
        <v>46</v>
      </c>
      <c r="E27" s="200" t="s">
        <v>23</v>
      </c>
      <c r="F27" s="202">
        <v>1142126.7919999999</v>
      </c>
      <c r="G27" s="202">
        <v>41880.387849999999</v>
      </c>
      <c r="H27" s="201">
        <v>37371</v>
      </c>
      <c r="I27" s="379">
        <v>2623.6099999999801</v>
      </c>
      <c r="J27" s="408">
        <f t="shared" si="8"/>
        <v>1100246.4041499998</v>
      </c>
      <c r="K27" s="202">
        <f t="shared" si="9"/>
        <v>29.44118177597602</v>
      </c>
      <c r="L27" s="315">
        <f t="shared" si="10"/>
        <v>3.6668772804692253E-2</v>
      </c>
      <c r="M27" s="369">
        <f t="shared" si="11"/>
        <v>14.244114026093925</v>
      </c>
      <c r="N27" s="263"/>
    </row>
    <row r="28" spans="1:14" x14ac:dyDescent="0.25">
      <c r="A28" s="217" t="s">
        <v>77</v>
      </c>
      <c r="B28" s="200">
        <v>760</v>
      </c>
      <c r="C28" s="200"/>
      <c r="D28" s="200" t="s">
        <v>46</v>
      </c>
      <c r="E28" s="200" t="s">
        <v>23</v>
      </c>
      <c r="F28" s="202">
        <v>419842.33909999998</v>
      </c>
      <c r="G28" s="202">
        <v>26416.60226</v>
      </c>
      <c r="H28" s="201">
        <v>12570</v>
      </c>
      <c r="I28" s="379">
        <v>849.41000000000201</v>
      </c>
      <c r="J28" s="408">
        <f t="shared" si="8"/>
        <v>393425.73683999997</v>
      </c>
      <c r="K28" s="202">
        <f t="shared" si="9"/>
        <v>31.298785747016705</v>
      </c>
      <c r="L28" s="315">
        <f t="shared" si="10"/>
        <v>6.2920291261306008E-2</v>
      </c>
      <c r="M28" s="369">
        <f t="shared" si="11"/>
        <v>14.798507199114644</v>
      </c>
      <c r="N28" s="263"/>
    </row>
    <row r="29" spans="1:14" x14ac:dyDescent="0.25">
      <c r="A29" s="217" t="s">
        <v>77</v>
      </c>
      <c r="B29" s="200">
        <v>763</v>
      </c>
      <c r="C29" s="200"/>
      <c r="D29" s="200" t="s">
        <v>46</v>
      </c>
      <c r="E29" s="200" t="s">
        <v>23</v>
      </c>
      <c r="F29" s="202">
        <v>288939.08299999998</v>
      </c>
      <c r="G29" s="202">
        <v>18773.68174</v>
      </c>
      <c r="H29" s="201">
        <v>10318</v>
      </c>
      <c r="I29" s="379">
        <v>667.64999999999702</v>
      </c>
      <c r="J29" s="408">
        <f t="shared" si="8"/>
        <v>270165.40125999996</v>
      </c>
      <c r="K29" s="202">
        <f t="shared" si="9"/>
        <v>26.183892349292496</v>
      </c>
      <c r="L29" s="315">
        <f t="shared" si="10"/>
        <v>6.4974532157700521E-2</v>
      </c>
      <c r="M29" s="369">
        <f t="shared" si="11"/>
        <v>15.454205047554925</v>
      </c>
      <c r="N29" s="263"/>
    </row>
    <row r="30" spans="1:14" x14ac:dyDescent="0.25">
      <c r="A30" s="217" t="s">
        <v>77</v>
      </c>
      <c r="B30" s="200">
        <v>764</v>
      </c>
      <c r="C30" s="200"/>
      <c r="D30" s="200" t="s">
        <v>46</v>
      </c>
      <c r="E30" s="200" t="s">
        <v>23</v>
      </c>
      <c r="F30" s="202">
        <v>257710.48939999999</v>
      </c>
      <c r="G30" s="202">
        <v>20929.801449999999</v>
      </c>
      <c r="H30" s="201">
        <v>9391</v>
      </c>
      <c r="I30" s="379">
        <v>571.92999999999995</v>
      </c>
      <c r="J30" s="408">
        <f t="shared" si="8"/>
        <v>236780.68794999999</v>
      </c>
      <c r="K30" s="202">
        <f t="shared" si="9"/>
        <v>25.213575545735278</v>
      </c>
      <c r="L30" s="315">
        <f t="shared" si="10"/>
        <v>8.1214394876703067E-2</v>
      </c>
      <c r="M30" s="369">
        <f t="shared" si="11"/>
        <v>16.419841589005649</v>
      </c>
      <c r="N30" s="263"/>
    </row>
    <row r="31" spans="1:14" x14ac:dyDescent="0.25">
      <c r="A31" s="217" t="s">
        <v>77</v>
      </c>
      <c r="B31" s="200">
        <v>766</v>
      </c>
      <c r="C31" s="200"/>
      <c r="D31" s="200" t="s">
        <v>46</v>
      </c>
      <c r="E31" s="200" t="s">
        <v>23</v>
      </c>
      <c r="F31" s="202">
        <v>627266.74879999994</v>
      </c>
      <c r="G31" s="202">
        <v>30392.464950000001</v>
      </c>
      <c r="H31" s="201">
        <v>12790</v>
      </c>
      <c r="I31" s="379">
        <v>1346.81</v>
      </c>
      <c r="J31" s="408">
        <f t="shared" si="8"/>
        <v>596874.28384999989</v>
      </c>
      <c r="K31" s="202">
        <f t="shared" si="9"/>
        <v>46.667262224394051</v>
      </c>
      <c r="L31" s="315">
        <f t="shared" si="10"/>
        <v>4.845221751056096E-2</v>
      </c>
      <c r="M31" s="369">
        <f t="shared" si="11"/>
        <v>9.4965139848976481</v>
      </c>
      <c r="N31" s="263"/>
    </row>
    <row r="32" spans="1:14" x14ac:dyDescent="0.25">
      <c r="A32" s="217" t="s">
        <v>77</v>
      </c>
      <c r="B32" s="200">
        <v>768</v>
      </c>
      <c r="C32" s="200"/>
      <c r="D32" s="200" t="s">
        <v>46</v>
      </c>
      <c r="E32" s="200" t="s">
        <v>23</v>
      </c>
      <c r="F32" s="202">
        <v>1609195.129</v>
      </c>
      <c r="G32" s="202">
        <v>158855.29060000001</v>
      </c>
      <c r="H32" s="201">
        <v>72619</v>
      </c>
      <c r="I32" s="379">
        <v>2837.71</v>
      </c>
      <c r="J32" s="408">
        <f t="shared" si="8"/>
        <v>1450339.8384</v>
      </c>
      <c r="K32" s="202">
        <f t="shared" si="9"/>
        <v>19.971905952987509</v>
      </c>
      <c r="L32" s="315">
        <f t="shared" si="10"/>
        <v>9.8717233067140364E-2</v>
      </c>
      <c r="M32" s="369">
        <f t="shared" si="11"/>
        <v>25.590705181290549</v>
      </c>
      <c r="N32" s="263"/>
    </row>
    <row r="33" spans="1:14" x14ac:dyDescent="0.25">
      <c r="A33" s="217" t="s">
        <v>77</v>
      </c>
      <c r="B33" s="200">
        <v>824</v>
      </c>
      <c r="C33" s="200"/>
      <c r="D33" s="200" t="s">
        <v>46</v>
      </c>
      <c r="E33" s="200" t="s">
        <v>23</v>
      </c>
      <c r="F33" s="202">
        <v>260226.3449</v>
      </c>
      <c r="G33" s="202">
        <v>12929.082990000001</v>
      </c>
      <c r="H33" s="201">
        <v>10455</v>
      </c>
      <c r="I33" s="379">
        <v>567.819999999998</v>
      </c>
      <c r="J33" s="408">
        <f t="shared" si="8"/>
        <v>247297.26191</v>
      </c>
      <c r="K33" s="202">
        <f t="shared" si="9"/>
        <v>23.653492291726447</v>
      </c>
      <c r="L33" s="315">
        <f t="shared" si="10"/>
        <v>4.9683989509088325E-2</v>
      </c>
      <c r="M33" s="369">
        <f t="shared" si="11"/>
        <v>18.412525095981184</v>
      </c>
      <c r="N33" s="263"/>
    </row>
    <row r="34" spans="1:14" x14ac:dyDescent="0.25">
      <c r="A34" s="217" t="s">
        <v>77</v>
      </c>
      <c r="B34" s="200">
        <v>850</v>
      </c>
      <c r="C34" s="200"/>
      <c r="D34" s="200" t="s">
        <v>46</v>
      </c>
      <c r="E34" s="200" t="s">
        <v>23</v>
      </c>
      <c r="F34" s="202">
        <v>2068672.933</v>
      </c>
      <c r="G34" s="409">
        <v>214114.81909999999</v>
      </c>
      <c r="H34" s="201">
        <v>97423</v>
      </c>
      <c r="I34" s="379">
        <v>4036.43</v>
      </c>
      <c r="J34" s="201">
        <f t="shared" si="8"/>
        <v>1854558.1139</v>
      </c>
      <c r="K34" s="202">
        <f t="shared" si="9"/>
        <v>19.036142532050953</v>
      </c>
      <c r="L34" s="315">
        <f t="shared" si="10"/>
        <v>0.10350346624852369</v>
      </c>
      <c r="M34" s="369">
        <f t="shared" si="11"/>
        <v>24.135931999316227</v>
      </c>
      <c r="N34" s="263"/>
    </row>
    <row r="35" spans="1:14" x14ac:dyDescent="0.25">
      <c r="A35" s="217" t="s">
        <v>77</v>
      </c>
      <c r="B35" s="200">
        <v>852</v>
      </c>
      <c r="C35" s="200"/>
      <c r="D35" s="200" t="s">
        <v>46</v>
      </c>
      <c r="E35" s="200" t="s">
        <v>23</v>
      </c>
      <c r="F35" s="202">
        <v>816550</v>
      </c>
      <c r="G35" s="202">
        <v>95112</v>
      </c>
      <c r="H35" s="379">
        <v>84638</v>
      </c>
      <c r="I35" s="379">
        <v>7311.3600000000006</v>
      </c>
      <c r="J35" s="201">
        <f t="shared" si="8"/>
        <v>721438</v>
      </c>
      <c r="K35" s="202">
        <f t="shared" si="9"/>
        <v>8.5238072733287655</v>
      </c>
      <c r="L35" s="315">
        <f t="shared" si="10"/>
        <v>0.1164803135141755</v>
      </c>
      <c r="M35" s="369">
        <f t="shared" si="11"/>
        <v>11.576232055322128</v>
      </c>
      <c r="N35" s="263"/>
    </row>
    <row r="36" spans="1:14" x14ac:dyDescent="0.25">
      <c r="A36" s="217" t="s">
        <v>77</v>
      </c>
      <c r="B36" s="200">
        <v>852</v>
      </c>
      <c r="C36" s="200"/>
      <c r="D36" s="200" t="s">
        <v>46</v>
      </c>
      <c r="E36" s="200" t="s">
        <v>43</v>
      </c>
      <c r="F36" s="202">
        <v>92196</v>
      </c>
      <c r="G36" s="202">
        <v>5578</v>
      </c>
      <c r="H36" s="379">
        <v>8094</v>
      </c>
      <c r="I36" s="379">
        <v>774</v>
      </c>
      <c r="J36" s="201">
        <f t="shared" si="8"/>
        <v>86618</v>
      </c>
      <c r="K36" s="202">
        <f t="shared" si="9"/>
        <v>10.701507289350136</v>
      </c>
      <c r="L36" s="315">
        <f t="shared" si="10"/>
        <v>6.0501540196971668E-2</v>
      </c>
      <c r="M36" s="369">
        <f t="shared" si="11"/>
        <v>10.457364341085272</v>
      </c>
      <c r="N36" s="263"/>
    </row>
    <row r="37" spans="1:14" x14ac:dyDescent="0.25">
      <c r="A37" s="217" t="s">
        <v>8</v>
      </c>
      <c r="B37" s="200">
        <v>460</v>
      </c>
      <c r="C37" s="200"/>
      <c r="D37" s="200" t="s">
        <v>46</v>
      </c>
      <c r="E37" s="200" t="s">
        <v>23</v>
      </c>
      <c r="F37" s="202">
        <v>1593303.11</v>
      </c>
      <c r="G37" s="202">
        <v>166022.54</v>
      </c>
      <c r="H37" s="379">
        <v>94664</v>
      </c>
      <c r="I37" s="379">
        <v>4253.2</v>
      </c>
      <c r="J37" s="201">
        <f t="shared" si="8"/>
        <v>1427280.57</v>
      </c>
      <c r="K37" s="202">
        <f t="shared" si="9"/>
        <v>15.077332143158962</v>
      </c>
      <c r="L37" s="315">
        <f t="shared" si="10"/>
        <v>0.10420022339628773</v>
      </c>
      <c r="M37" s="369">
        <f t="shared" si="11"/>
        <v>22.257124047775793</v>
      </c>
      <c r="N37" s="263"/>
    </row>
    <row r="38" spans="1:14" x14ac:dyDescent="0.25">
      <c r="A38" s="217" t="s">
        <v>8</v>
      </c>
      <c r="B38" s="200">
        <v>465</v>
      </c>
      <c r="C38" s="200"/>
      <c r="D38" s="200" t="s">
        <v>46</v>
      </c>
      <c r="E38" s="200" t="s">
        <v>23</v>
      </c>
      <c r="F38" s="202">
        <v>2296750.27</v>
      </c>
      <c r="G38" s="202">
        <v>251527.72</v>
      </c>
      <c r="H38" s="379">
        <v>143418</v>
      </c>
      <c r="I38" s="379">
        <v>7376.09</v>
      </c>
      <c r="J38" s="201">
        <f t="shared" si="8"/>
        <v>2045222.55</v>
      </c>
      <c r="K38" s="202">
        <f t="shared" si="9"/>
        <v>14.260570848847426</v>
      </c>
      <c r="L38" s="315">
        <f t="shared" si="10"/>
        <v>0.1095146143163401</v>
      </c>
      <c r="M38" s="369">
        <f t="shared" si="11"/>
        <v>19.443634771267703</v>
      </c>
      <c r="N38" s="263"/>
    </row>
    <row r="39" spans="1:14" x14ac:dyDescent="0.25">
      <c r="A39" s="217" t="s">
        <v>8</v>
      </c>
      <c r="B39" s="200">
        <v>470</v>
      </c>
      <c r="C39" s="200"/>
      <c r="D39" s="200" t="s">
        <v>46</v>
      </c>
      <c r="E39" s="200" t="s">
        <v>23</v>
      </c>
      <c r="F39" s="202">
        <v>611505.23</v>
      </c>
      <c r="G39" s="202">
        <v>65769.58</v>
      </c>
      <c r="H39" s="379">
        <v>37501</v>
      </c>
      <c r="I39" s="379">
        <v>1529.86</v>
      </c>
      <c r="J39" s="201">
        <f t="shared" si="8"/>
        <v>545735.65</v>
      </c>
      <c r="K39" s="202">
        <f t="shared" si="9"/>
        <v>14.552562598330711</v>
      </c>
      <c r="L39" s="315">
        <f t="shared" si="10"/>
        <v>0.10755358543703707</v>
      </c>
      <c r="M39" s="369">
        <f t="shared" si="11"/>
        <v>24.512700508543269</v>
      </c>
      <c r="N39" s="263"/>
    </row>
    <row r="40" spans="1:14" x14ac:dyDescent="0.25">
      <c r="A40" s="217" t="s">
        <v>8</v>
      </c>
      <c r="B40" s="200">
        <v>475</v>
      </c>
      <c r="C40" s="200"/>
      <c r="D40" s="200" t="s">
        <v>46</v>
      </c>
      <c r="E40" s="200" t="s">
        <v>23</v>
      </c>
      <c r="F40" s="202">
        <v>1542762.68</v>
      </c>
      <c r="G40" s="202">
        <v>158824.91</v>
      </c>
      <c r="H40" s="379">
        <v>90560</v>
      </c>
      <c r="I40" s="379">
        <v>4904.7800000000007</v>
      </c>
      <c r="J40" s="201">
        <f t="shared" si="8"/>
        <v>1383937.77</v>
      </c>
      <c r="K40" s="202">
        <f t="shared" si="9"/>
        <v>15.281998343639577</v>
      </c>
      <c r="L40" s="315">
        <f t="shared" si="10"/>
        <v>0.10294837440584187</v>
      </c>
      <c r="M40" s="369">
        <f t="shared" si="11"/>
        <v>18.463621202174203</v>
      </c>
      <c r="N40" s="263"/>
    </row>
    <row r="41" spans="1:14" x14ac:dyDescent="0.25">
      <c r="A41" s="217" t="s">
        <v>8</v>
      </c>
      <c r="B41" s="200">
        <v>477</v>
      </c>
      <c r="C41" s="200"/>
      <c r="D41" s="200" t="s">
        <v>46</v>
      </c>
      <c r="E41" s="200" t="s">
        <v>23</v>
      </c>
      <c r="F41" s="202">
        <v>1661798.14</v>
      </c>
      <c r="G41" s="202">
        <v>271329.98</v>
      </c>
      <c r="H41" s="379">
        <v>154709</v>
      </c>
      <c r="I41" s="379">
        <v>4954.5</v>
      </c>
      <c r="J41" s="201">
        <f t="shared" si="8"/>
        <v>1390468.16</v>
      </c>
      <c r="K41" s="202">
        <f t="shared" si="9"/>
        <v>8.9876358841437796</v>
      </c>
      <c r="L41" s="315">
        <f t="shared" si="10"/>
        <v>0.16327493301924142</v>
      </c>
      <c r="M41" s="369">
        <f t="shared" si="11"/>
        <v>31.225956201433039</v>
      </c>
      <c r="N41" s="263"/>
    </row>
    <row r="42" spans="1:14" x14ac:dyDescent="0.25">
      <c r="A42" s="217" t="s">
        <v>8</v>
      </c>
      <c r="B42" s="200">
        <v>480</v>
      </c>
      <c r="C42" s="200"/>
      <c r="D42" s="200" t="s">
        <v>46</v>
      </c>
      <c r="E42" s="200" t="s">
        <v>23</v>
      </c>
      <c r="F42" s="202">
        <v>633271.81000000006</v>
      </c>
      <c r="G42" s="202">
        <v>48650.65</v>
      </c>
      <c r="H42" s="379">
        <v>27740</v>
      </c>
      <c r="I42" s="379">
        <v>2268.27</v>
      </c>
      <c r="J42" s="201">
        <f t="shared" si="8"/>
        <v>584621.16</v>
      </c>
      <c r="K42" s="202">
        <f t="shared" si="9"/>
        <v>21.075023792357609</v>
      </c>
      <c r="L42" s="315">
        <f t="shared" si="10"/>
        <v>7.6824278661638198E-2</v>
      </c>
      <c r="M42" s="369">
        <f t="shared" si="11"/>
        <v>12.229584661438013</v>
      </c>
      <c r="N42" s="263"/>
    </row>
    <row r="43" spans="1:14" x14ac:dyDescent="0.25">
      <c r="A43" s="217" t="s">
        <v>8</v>
      </c>
      <c r="B43" s="200">
        <v>490</v>
      </c>
      <c r="C43" s="200"/>
      <c r="D43" s="200" t="s">
        <v>46</v>
      </c>
      <c r="E43" s="200" t="s">
        <v>23</v>
      </c>
      <c r="F43" s="202">
        <v>1094386.19</v>
      </c>
      <c r="G43" s="202">
        <v>80501.570000000007</v>
      </c>
      <c r="H43" s="379">
        <v>45901</v>
      </c>
      <c r="I43" s="379">
        <v>3476.98</v>
      </c>
      <c r="J43" s="201">
        <f t="shared" si="8"/>
        <v>1013884.6199999999</v>
      </c>
      <c r="K43" s="202">
        <f t="shared" si="9"/>
        <v>22.088508311365764</v>
      </c>
      <c r="L43" s="315">
        <f t="shared" si="10"/>
        <v>7.3558649346625996E-2</v>
      </c>
      <c r="M43" s="369">
        <f t="shared" si="11"/>
        <v>13.201398915150504</v>
      </c>
      <c r="N43" s="263"/>
    </row>
    <row r="44" spans="1:14" x14ac:dyDescent="0.25">
      <c r="A44" s="217" t="s">
        <v>45</v>
      </c>
      <c r="B44" s="200">
        <v>747</v>
      </c>
      <c r="C44" s="200"/>
      <c r="D44" s="200" t="s">
        <v>46</v>
      </c>
      <c r="E44" s="200" t="s">
        <v>23</v>
      </c>
      <c r="F44" s="202">
        <v>957015.0682374438</v>
      </c>
      <c r="G44" s="202">
        <v>51765</v>
      </c>
      <c r="H44" s="379">
        <v>24581</v>
      </c>
      <c r="I44" s="379">
        <v>4002.6000000000004</v>
      </c>
      <c r="J44" s="201">
        <f t="shared" si="8"/>
        <v>905250.0682374438</v>
      </c>
      <c r="K44" s="202">
        <f t="shared" si="9"/>
        <v>36.827227054938518</v>
      </c>
      <c r="L44" s="315">
        <f t="shared" si="10"/>
        <v>5.4090057427556251E-2</v>
      </c>
      <c r="M44" s="369">
        <f t="shared" si="11"/>
        <v>6.1412581821815815</v>
      </c>
      <c r="N44" s="263"/>
    </row>
    <row r="45" spans="1:14" x14ac:dyDescent="0.25">
      <c r="A45" s="217" t="s">
        <v>45</v>
      </c>
      <c r="B45" s="200">
        <v>774</v>
      </c>
      <c r="C45" s="200"/>
      <c r="D45" s="200" t="s">
        <v>46</v>
      </c>
      <c r="E45" s="200" t="s">
        <v>23</v>
      </c>
      <c r="F45" s="202">
        <v>1104937.6799484668</v>
      </c>
      <c r="G45" s="202">
        <v>136536</v>
      </c>
      <c r="H45" s="379">
        <v>65435</v>
      </c>
      <c r="I45" s="379">
        <v>4929.59</v>
      </c>
      <c r="J45" s="201">
        <f t="shared" si="8"/>
        <v>968401.67994846683</v>
      </c>
      <c r="K45" s="202">
        <f t="shared" si="9"/>
        <v>14.799444944578083</v>
      </c>
      <c r="L45" s="315">
        <f t="shared" si="10"/>
        <v>0.12356896002168005</v>
      </c>
      <c r="M45" s="369">
        <f t="shared" si="11"/>
        <v>13.273923389166239</v>
      </c>
      <c r="N45" s="263"/>
    </row>
    <row r="46" spans="1:14" x14ac:dyDescent="0.25">
      <c r="A46" s="217" t="s">
        <v>45</v>
      </c>
      <c r="B46" s="200">
        <v>776</v>
      </c>
      <c r="C46" s="200"/>
      <c r="D46" s="200" t="s">
        <v>46</v>
      </c>
      <c r="E46" s="200" t="s">
        <v>23</v>
      </c>
      <c r="F46" s="202">
        <v>603998.10451152408</v>
      </c>
      <c r="G46" s="202">
        <v>53464</v>
      </c>
      <c r="H46" s="379">
        <v>25509</v>
      </c>
      <c r="I46" s="379">
        <v>2458.8099999999995</v>
      </c>
      <c r="J46" s="201">
        <f t="shared" si="8"/>
        <v>550534.10451152408</v>
      </c>
      <c r="K46" s="202">
        <f t="shared" si="9"/>
        <v>21.58195556515442</v>
      </c>
      <c r="L46" s="315">
        <f t="shared" si="10"/>
        <v>8.8516834077216749E-2</v>
      </c>
      <c r="M46" s="369">
        <f t="shared" si="11"/>
        <v>10.37453076894921</v>
      </c>
      <c r="N46" s="263"/>
    </row>
    <row r="47" spans="1:14" x14ac:dyDescent="0.25">
      <c r="A47" s="217" t="s">
        <v>45</v>
      </c>
      <c r="B47" s="200">
        <v>777</v>
      </c>
      <c r="C47" s="200"/>
      <c r="D47" s="200" t="s">
        <v>46</v>
      </c>
      <c r="E47" s="200" t="s">
        <v>23</v>
      </c>
      <c r="F47" s="202">
        <v>604362.15269175114</v>
      </c>
      <c r="G47" s="202">
        <v>44280</v>
      </c>
      <c r="H47" s="379">
        <v>21438</v>
      </c>
      <c r="I47" s="379">
        <v>2456.8299999999995</v>
      </c>
      <c r="J47" s="201">
        <f t="shared" si="8"/>
        <v>560082.15269175114</v>
      </c>
      <c r="K47" s="202">
        <f t="shared" si="9"/>
        <v>26.12567183000985</v>
      </c>
      <c r="L47" s="315">
        <f t="shared" si="10"/>
        <v>7.3267327880779082E-2</v>
      </c>
      <c r="M47" s="369">
        <f t="shared" si="11"/>
        <v>8.7258784694097695</v>
      </c>
      <c r="N47" s="263"/>
    </row>
    <row r="48" spans="1:14" x14ac:dyDescent="0.25">
      <c r="A48" s="217" t="s">
        <v>45</v>
      </c>
      <c r="B48" s="200">
        <v>790</v>
      </c>
      <c r="C48" s="200"/>
      <c r="D48" s="200" t="s">
        <v>46</v>
      </c>
      <c r="E48" s="200" t="s">
        <v>23</v>
      </c>
      <c r="F48" s="202">
        <v>707048.18294182466</v>
      </c>
      <c r="G48" s="202">
        <v>41426</v>
      </c>
      <c r="H48" s="379">
        <v>19794</v>
      </c>
      <c r="I48" s="379">
        <v>2943.42</v>
      </c>
      <c r="J48" s="201">
        <f t="shared" si="8"/>
        <v>665622.18294182466</v>
      </c>
      <c r="K48" s="202">
        <f t="shared" si="9"/>
        <v>33.627472109822406</v>
      </c>
      <c r="L48" s="315">
        <f t="shared" si="10"/>
        <v>5.8590066419007394E-2</v>
      </c>
      <c r="M48" s="369">
        <f t="shared" si="11"/>
        <v>6.7248302994475813</v>
      </c>
      <c r="N48" s="263"/>
    </row>
    <row r="49" spans="1:14" x14ac:dyDescent="0.25">
      <c r="A49" s="217" t="s">
        <v>45</v>
      </c>
      <c r="B49" s="200">
        <v>795</v>
      </c>
      <c r="C49" s="200"/>
      <c r="D49" s="200" t="s">
        <v>46</v>
      </c>
      <c r="E49" s="200" t="s">
        <v>23</v>
      </c>
      <c r="F49" s="202">
        <v>170495.81166898986</v>
      </c>
      <c r="G49" s="202">
        <v>10269</v>
      </c>
      <c r="H49" s="379">
        <v>5007</v>
      </c>
      <c r="I49" s="379">
        <v>502.35</v>
      </c>
      <c r="J49" s="201">
        <f t="shared" si="8"/>
        <v>160226.81166898986</v>
      </c>
      <c r="K49" s="202">
        <f t="shared" si="9"/>
        <v>32.000561547631285</v>
      </c>
      <c r="L49" s="315">
        <f t="shared" si="10"/>
        <v>6.0230218557725118E-2</v>
      </c>
      <c r="M49" s="369">
        <f t="shared" si="11"/>
        <v>9.9671543744401312</v>
      </c>
      <c r="N49" s="263"/>
    </row>
    <row r="50" spans="1:14" x14ac:dyDescent="0.25">
      <c r="A50" s="217" t="s">
        <v>24</v>
      </c>
      <c r="B50" s="200">
        <v>600</v>
      </c>
      <c r="C50" s="200"/>
      <c r="D50" s="200" t="s">
        <v>46</v>
      </c>
      <c r="E50" s="200" t="s">
        <v>23</v>
      </c>
      <c r="F50" s="202">
        <v>133797.75654511282</v>
      </c>
      <c r="G50" s="202">
        <v>12777</v>
      </c>
      <c r="H50" s="379">
        <v>4975</v>
      </c>
      <c r="I50" s="379">
        <v>763.048</v>
      </c>
      <c r="J50" s="201">
        <f t="shared" si="8"/>
        <v>121020.75654511282</v>
      </c>
      <c r="K50" s="202">
        <f t="shared" si="9"/>
        <v>24.325780210072928</v>
      </c>
      <c r="L50" s="315">
        <f t="shared" si="10"/>
        <v>9.5494874726781809E-2</v>
      </c>
      <c r="M50" s="369">
        <f t="shared" si="11"/>
        <v>6.5199043834725989</v>
      </c>
      <c r="N50" s="263"/>
    </row>
    <row r="51" spans="1:14" x14ac:dyDescent="0.25">
      <c r="A51" s="217" t="s">
        <v>24</v>
      </c>
      <c r="B51" s="200">
        <v>695</v>
      </c>
      <c r="C51" s="200"/>
      <c r="D51" s="200" t="s">
        <v>46</v>
      </c>
      <c r="E51" s="200" t="s">
        <v>23</v>
      </c>
      <c r="F51" s="202">
        <v>716871.41543598287</v>
      </c>
      <c r="G51" s="202">
        <v>111541</v>
      </c>
      <c r="H51" s="379">
        <v>43430</v>
      </c>
      <c r="I51" s="379">
        <v>2163.15</v>
      </c>
      <c r="J51" s="201">
        <f t="shared" si="8"/>
        <v>605330.41543598287</v>
      </c>
      <c r="K51" s="202">
        <f t="shared" si="9"/>
        <v>13.938070813630736</v>
      </c>
      <c r="L51" s="315">
        <f t="shared" si="10"/>
        <v>0.15559415203096585</v>
      </c>
      <c r="M51" s="369">
        <f t="shared" si="11"/>
        <v>20.077202228231975</v>
      </c>
      <c r="N51" s="263"/>
    </row>
    <row r="52" spans="1:14" x14ac:dyDescent="0.25">
      <c r="A52" s="217" t="s">
        <v>24</v>
      </c>
      <c r="B52" s="200">
        <v>698</v>
      </c>
      <c r="C52" s="200"/>
      <c r="D52" s="200" t="s">
        <v>46</v>
      </c>
      <c r="E52" s="200" t="s">
        <v>23</v>
      </c>
      <c r="F52" s="202">
        <v>3157006.6080189035</v>
      </c>
      <c r="G52" s="202">
        <v>517049</v>
      </c>
      <c r="H52" s="379">
        <v>201320</v>
      </c>
      <c r="I52" s="379">
        <v>9036.4853333333322</v>
      </c>
      <c r="J52" s="201">
        <f t="shared" si="8"/>
        <v>2639957.6080189035</v>
      </c>
      <c r="K52" s="202">
        <f t="shared" si="9"/>
        <v>13.113240651792687</v>
      </c>
      <c r="L52" s="315">
        <f t="shared" si="10"/>
        <v>0.16377824445684658</v>
      </c>
      <c r="M52" s="369">
        <f t="shared" si="11"/>
        <v>22.278573203387044</v>
      </c>
      <c r="N52" s="263"/>
    </row>
    <row r="53" spans="1:14" x14ac:dyDescent="0.25">
      <c r="A53" s="217" t="s">
        <v>77</v>
      </c>
      <c r="B53" s="200">
        <v>2</v>
      </c>
      <c r="C53" s="200"/>
      <c r="D53" s="200" t="s">
        <v>14</v>
      </c>
      <c r="E53" s="200" t="s">
        <v>43</v>
      </c>
      <c r="F53" s="202">
        <v>1546993.3459999999</v>
      </c>
      <c r="G53" s="202">
        <v>122291.8184</v>
      </c>
      <c r="H53" s="379">
        <v>136118</v>
      </c>
      <c r="I53" s="379">
        <v>4383.75</v>
      </c>
      <c r="J53" s="201">
        <f t="shared" si="8"/>
        <v>1424701.5275999999</v>
      </c>
      <c r="K53" s="202">
        <f t="shared" si="9"/>
        <v>10.46666515523296</v>
      </c>
      <c r="L53" s="315">
        <f t="shared" si="10"/>
        <v>7.9051289209617584E-2</v>
      </c>
      <c r="M53" s="369">
        <f t="shared" si="11"/>
        <v>31.050584545195324</v>
      </c>
      <c r="N53" s="263"/>
    </row>
    <row r="54" spans="1:14" x14ac:dyDescent="0.25">
      <c r="A54" s="217" t="s">
        <v>77</v>
      </c>
      <c r="B54" s="200">
        <v>2</v>
      </c>
      <c r="C54" s="200"/>
      <c r="D54" s="200" t="s">
        <v>14</v>
      </c>
      <c r="E54" s="200" t="s">
        <v>44</v>
      </c>
      <c r="F54" s="202">
        <v>1561176.6610000001</v>
      </c>
      <c r="G54" s="202">
        <v>105852.201</v>
      </c>
      <c r="H54" s="379">
        <v>127790</v>
      </c>
      <c r="I54" s="379">
        <v>4277.26</v>
      </c>
      <c r="J54" s="201">
        <f t="shared" si="8"/>
        <v>1455324.46</v>
      </c>
      <c r="K54" s="202">
        <f t="shared" si="9"/>
        <v>11.388406448078879</v>
      </c>
      <c r="L54" s="315">
        <f t="shared" si="10"/>
        <v>6.7802833365570025E-2</v>
      </c>
      <c r="M54" s="369">
        <f t="shared" si="11"/>
        <v>29.876603246003281</v>
      </c>
      <c r="N54" s="263"/>
    </row>
    <row r="55" spans="1:14" x14ac:dyDescent="0.25">
      <c r="A55" s="217" t="s">
        <v>77</v>
      </c>
      <c r="B55" s="200">
        <v>2</v>
      </c>
      <c r="C55" s="200"/>
      <c r="D55" s="200" t="s">
        <v>14</v>
      </c>
      <c r="E55" s="200" t="s">
        <v>23</v>
      </c>
      <c r="F55" s="202">
        <v>11596282.189999999</v>
      </c>
      <c r="G55" s="202">
        <v>1270387.601</v>
      </c>
      <c r="H55" s="379">
        <v>1218653</v>
      </c>
      <c r="I55" s="379">
        <v>34731.760000000002</v>
      </c>
      <c r="J55" s="201">
        <f t="shared" si="8"/>
        <v>10325894.589</v>
      </c>
      <c r="K55" s="202">
        <f t="shared" si="9"/>
        <v>8.4732032736143914</v>
      </c>
      <c r="L55" s="315">
        <f t="shared" si="10"/>
        <v>0.10955128378089254</v>
      </c>
      <c r="M55" s="369">
        <f t="shared" si="11"/>
        <v>35.08756826604813</v>
      </c>
      <c r="N55" s="263"/>
    </row>
    <row r="56" spans="1:14" x14ac:dyDescent="0.25">
      <c r="A56" s="217" t="s">
        <v>77</v>
      </c>
      <c r="B56" s="200">
        <v>3</v>
      </c>
      <c r="C56" s="200"/>
      <c r="D56" s="200" t="s">
        <v>14</v>
      </c>
      <c r="E56" s="200" t="s">
        <v>43</v>
      </c>
      <c r="F56" s="202">
        <v>2084083.145</v>
      </c>
      <c r="G56" s="202">
        <v>136593.55600000001</v>
      </c>
      <c r="H56" s="379">
        <v>130436</v>
      </c>
      <c r="I56" s="379">
        <v>6479.19</v>
      </c>
      <c r="J56" s="201">
        <f t="shared" si="8"/>
        <v>1947489.5889999999</v>
      </c>
      <c r="K56" s="202">
        <f t="shared" si="9"/>
        <v>14.930614163267808</v>
      </c>
      <c r="L56" s="315">
        <f t="shared" si="10"/>
        <v>6.5541317930480167E-2</v>
      </c>
      <c r="M56" s="369">
        <f t="shared" si="11"/>
        <v>20.131528786777359</v>
      </c>
      <c r="N56" s="263"/>
    </row>
    <row r="57" spans="1:14" x14ac:dyDescent="0.25">
      <c r="A57" s="217" t="s">
        <v>77</v>
      </c>
      <c r="B57" s="200">
        <v>3</v>
      </c>
      <c r="C57" s="200"/>
      <c r="D57" s="200" t="s">
        <v>14</v>
      </c>
      <c r="E57" s="200" t="s">
        <v>44</v>
      </c>
      <c r="F57" s="202">
        <v>1340709.9029999999</v>
      </c>
      <c r="G57" s="202">
        <v>96430.259000000005</v>
      </c>
      <c r="H57" s="379">
        <v>93788</v>
      </c>
      <c r="I57" s="379">
        <v>4081.12</v>
      </c>
      <c r="J57" s="201">
        <f t="shared" si="8"/>
        <v>1244279.6439999999</v>
      </c>
      <c r="K57" s="202">
        <f t="shared" si="9"/>
        <v>13.266938670192348</v>
      </c>
      <c r="L57" s="315">
        <f t="shared" si="10"/>
        <v>7.1924775661181953E-2</v>
      </c>
      <c r="M57" s="369">
        <f t="shared" si="11"/>
        <v>22.980946406868703</v>
      </c>
      <c r="N57" s="263"/>
    </row>
    <row r="58" spans="1:14" x14ac:dyDescent="0.25">
      <c r="A58" s="217" t="s">
        <v>77</v>
      </c>
      <c r="B58" s="200">
        <v>3</v>
      </c>
      <c r="C58" s="200"/>
      <c r="D58" s="200" t="s">
        <v>14</v>
      </c>
      <c r="E58" s="200" t="s">
        <v>23</v>
      </c>
      <c r="F58" s="202">
        <v>14811411.859999999</v>
      </c>
      <c r="G58" s="202">
        <v>1691872.3130000001</v>
      </c>
      <c r="H58" s="379">
        <v>1384988</v>
      </c>
      <c r="I58" s="379">
        <v>44499.090000000098</v>
      </c>
      <c r="J58" s="201">
        <f t="shared" si="8"/>
        <v>13119539.546999998</v>
      </c>
      <c r="K58" s="202">
        <f t="shared" si="9"/>
        <v>9.4726738043939722</v>
      </c>
      <c r="L58" s="315">
        <f t="shared" si="10"/>
        <v>0.1142276191487933</v>
      </c>
      <c r="M58" s="369">
        <f t="shared" si="11"/>
        <v>31.123962310240433</v>
      </c>
      <c r="N58" s="263"/>
    </row>
    <row r="59" spans="1:14" x14ac:dyDescent="0.25">
      <c r="A59" s="217" t="s">
        <v>77</v>
      </c>
      <c r="B59" s="200">
        <v>4</v>
      </c>
      <c r="C59" s="200"/>
      <c r="D59" s="200" t="s">
        <v>14</v>
      </c>
      <c r="E59" s="200" t="s">
        <v>43</v>
      </c>
      <c r="F59" s="202">
        <v>2070947.706</v>
      </c>
      <c r="G59" s="202">
        <v>112539.0141</v>
      </c>
      <c r="H59" s="379">
        <v>128878</v>
      </c>
      <c r="I59" s="379">
        <v>6351.24</v>
      </c>
      <c r="J59" s="201">
        <f t="shared" si="8"/>
        <v>1958408.6919</v>
      </c>
      <c r="K59" s="202">
        <f t="shared" si="9"/>
        <v>15.195833981750182</v>
      </c>
      <c r="L59" s="315">
        <f t="shared" si="10"/>
        <v>5.4341794229738026E-2</v>
      </c>
      <c r="M59" s="369">
        <f t="shared" si="11"/>
        <v>20.29178554109119</v>
      </c>
      <c r="N59" s="263"/>
    </row>
    <row r="60" spans="1:14" x14ac:dyDescent="0.25">
      <c r="A60" s="217" t="s">
        <v>77</v>
      </c>
      <c r="B60" s="200">
        <v>4</v>
      </c>
      <c r="C60" s="200"/>
      <c r="D60" s="200" t="s">
        <v>14</v>
      </c>
      <c r="E60" s="200" t="s">
        <v>44</v>
      </c>
      <c r="F60" s="202">
        <v>2039079.4069999999</v>
      </c>
      <c r="G60" s="202">
        <v>92879.002999999997</v>
      </c>
      <c r="H60" s="379">
        <v>108474</v>
      </c>
      <c r="I60" s="379">
        <v>5983.03</v>
      </c>
      <c r="J60" s="201">
        <f t="shared" si="8"/>
        <v>1946200.4039999999</v>
      </c>
      <c r="K60" s="202">
        <f t="shared" si="9"/>
        <v>17.941630289285911</v>
      </c>
      <c r="L60" s="315">
        <f t="shared" si="10"/>
        <v>4.5549478201365602E-2</v>
      </c>
      <c r="M60" s="369">
        <f t="shared" si="11"/>
        <v>18.130278470941981</v>
      </c>
      <c r="N60" s="263"/>
    </row>
    <row r="61" spans="1:14" x14ac:dyDescent="0.25">
      <c r="A61" s="217" t="s">
        <v>77</v>
      </c>
      <c r="B61" s="200">
        <v>4</v>
      </c>
      <c r="C61" s="200"/>
      <c r="D61" s="200" t="s">
        <v>14</v>
      </c>
      <c r="E61" s="200" t="s">
        <v>23</v>
      </c>
      <c r="F61" s="202">
        <v>11830399.970000001</v>
      </c>
      <c r="G61" s="202">
        <v>878297.04040000006</v>
      </c>
      <c r="H61" s="379">
        <v>896233</v>
      </c>
      <c r="I61" s="379">
        <v>34196.300000000097</v>
      </c>
      <c r="J61" s="201">
        <f t="shared" si="8"/>
        <v>10952102.9296</v>
      </c>
      <c r="K61" s="202">
        <f t="shared" si="9"/>
        <v>12.220151377599352</v>
      </c>
      <c r="L61" s="315">
        <f t="shared" si="10"/>
        <v>7.4240688618070455E-2</v>
      </c>
      <c r="M61" s="369">
        <f t="shared" si="11"/>
        <v>26.208478695063427</v>
      </c>
      <c r="N61" s="263"/>
    </row>
    <row r="62" spans="1:14" x14ac:dyDescent="0.25">
      <c r="A62" s="217" t="s">
        <v>77</v>
      </c>
      <c r="B62" s="200">
        <v>6</v>
      </c>
      <c r="C62" s="200"/>
      <c r="D62" s="200" t="s">
        <v>14</v>
      </c>
      <c r="E62" s="200" t="s">
        <v>43</v>
      </c>
      <c r="F62" s="202">
        <v>2719298.47</v>
      </c>
      <c r="G62" s="202">
        <v>135675.6251</v>
      </c>
      <c r="H62" s="379">
        <v>142123</v>
      </c>
      <c r="I62" s="379">
        <v>7991.7599999999902</v>
      </c>
      <c r="J62" s="201">
        <f t="shared" si="8"/>
        <v>2583622.8449000004</v>
      </c>
      <c r="K62" s="202">
        <f t="shared" si="9"/>
        <v>18.178780668153646</v>
      </c>
      <c r="L62" s="315">
        <f t="shared" si="10"/>
        <v>4.9893612855230265E-2</v>
      </c>
      <c r="M62" s="369">
        <f t="shared" si="11"/>
        <v>17.783692202969078</v>
      </c>
      <c r="N62" s="263"/>
    </row>
    <row r="63" spans="1:14" x14ac:dyDescent="0.25">
      <c r="A63" s="217" t="s">
        <v>77</v>
      </c>
      <c r="B63" s="200">
        <v>6</v>
      </c>
      <c r="C63" s="200"/>
      <c r="D63" s="200" t="s">
        <v>14</v>
      </c>
      <c r="E63" s="200" t="s">
        <v>44</v>
      </c>
      <c r="F63" s="202">
        <v>2588495.466</v>
      </c>
      <c r="G63" s="202">
        <v>115786.5554</v>
      </c>
      <c r="H63" s="379">
        <v>125720</v>
      </c>
      <c r="I63" s="379">
        <v>7692.42</v>
      </c>
      <c r="J63" s="201">
        <f t="shared" si="8"/>
        <v>2472708.9106000001</v>
      </c>
      <c r="K63" s="202">
        <f t="shared" si="9"/>
        <v>19.66838140789055</v>
      </c>
      <c r="L63" s="315">
        <f t="shared" si="10"/>
        <v>4.473121816161605E-2</v>
      </c>
      <c r="M63" s="369">
        <f t="shared" si="11"/>
        <v>16.34336138692375</v>
      </c>
      <c r="N63" s="263"/>
    </row>
    <row r="64" spans="1:14" x14ac:dyDescent="0.25">
      <c r="A64" s="217" t="s">
        <v>77</v>
      </c>
      <c r="B64" s="200">
        <v>6</v>
      </c>
      <c r="C64" s="200"/>
      <c r="D64" s="200" t="s">
        <v>14</v>
      </c>
      <c r="E64" s="200" t="s">
        <v>23</v>
      </c>
      <c r="F64" s="202">
        <v>14091013.109999999</v>
      </c>
      <c r="G64" s="202">
        <v>959728.2058</v>
      </c>
      <c r="H64" s="379">
        <v>916738</v>
      </c>
      <c r="I64" s="379">
        <v>41675.47</v>
      </c>
      <c r="J64" s="201">
        <f t="shared" si="8"/>
        <v>13131284.904199999</v>
      </c>
      <c r="K64" s="202">
        <f t="shared" si="9"/>
        <v>14.323923415632382</v>
      </c>
      <c r="L64" s="315">
        <f t="shared" si="10"/>
        <v>6.8109240855003361E-2</v>
      </c>
      <c r="M64" s="369">
        <f t="shared" si="11"/>
        <v>21.997064460220844</v>
      </c>
      <c r="N64" s="263"/>
    </row>
    <row r="65" spans="1:14" x14ac:dyDescent="0.25">
      <c r="A65" s="217" t="s">
        <v>77</v>
      </c>
      <c r="B65" s="200">
        <v>7</v>
      </c>
      <c r="C65" s="200"/>
      <c r="D65" s="200" t="s">
        <v>14</v>
      </c>
      <c r="E65" s="200" t="s">
        <v>43</v>
      </c>
      <c r="F65" s="202">
        <v>914439.4817</v>
      </c>
      <c r="G65" s="202">
        <v>36384.679219999998</v>
      </c>
      <c r="H65" s="379">
        <v>38910</v>
      </c>
      <c r="I65" s="379">
        <v>2644.6</v>
      </c>
      <c r="J65" s="201">
        <f t="shared" si="8"/>
        <v>878054.80247999995</v>
      </c>
      <c r="K65" s="202">
        <f t="shared" si="9"/>
        <v>22.566301785659213</v>
      </c>
      <c r="L65" s="315">
        <f t="shared" si="10"/>
        <v>3.9789051050550236E-2</v>
      </c>
      <c r="M65" s="369">
        <f t="shared" si="11"/>
        <v>14.713000075625803</v>
      </c>
      <c r="N65" s="263"/>
    </row>
    <row r="66" spans="1:14" x14ac:dyDescent="0.25">
      <c r="A66" s="217" t="s">
        <v>77</v>
      </c>
      <c r="B66" s="200">
        <v>7</v>
      </c>
      <c r="C66" s="200"/>
      <c r="D66" s="200" t="s">
        <v>14</v>
      </c>
      <c r="E66" s="200" t="s">
        <v>44</v>
      </c>
      <c r="F66" s="202">
        <v>973442.73809999996</v>
      </c>
      <c r="G66" s="202">
        <v>33585.074630000003</v>
      </c>
      <c r="H66" s="379">
        <v>36948</v>
      </c>
      <c r="I66" s="379">
        <v>2909.62</v>
      </c>
      <c r="J66" s="201">
        <f t="shared" si="8"/>
        <v>939857.66346999991</v>
      </c>
      <c r="K66" s="202">
        <f t="shared" si="9"/>
        <v>25.437308202609071</v>
      </c>
      <c r="L66" s="315">
        <f t="shared" si="10"/>
        <v>3.4501335636395562E-2</v>
      </c>
      <c r="M66" s="369">
        <f t="shared" si="11"/>
        <v>12.69856544840907</v>
      </c>
      <c r="N66" s="263"/>
    </row>
    <row r="67" spans="1:14" x14ac:dyDescent="0.25">
      <c r="A67" s="217" t="s">
        <v>77</v>
      </c>
      <c r="B67" s="200">
        <v>7</v>
      </c>
      <c r="C67" s="200"/>
      <c r="D67" s="200" t="s">
        <v>14</v>
      </c>
      <c r="E67" s="200" t="s">
        <v>23</v>
      </c>
      <c r="F67" s="202">
        <v>5982537.3130000001</v>
      </c>
      <c r="G67" s="202">
        <v>323323.78840000002</v>
      </c>
      <c r="H67" s="379">
        <v>303540</v>
      </c>
      <c r="I67" s="379">
        <v>18776.690000000101</v>
      </c>
      <c r="J67" s="201">
        <f t="shared" si="8"/>
        <v>5659213.5246000001</v>
      </c>
      <c r="K67" s="202">
        <f t="shared" si="9"/>
        <v>18.644045346906502</v>
      </c>
      <c r="L67" s="315">
        <f t="shared" si="10"/>
        <v>5.4044592032450899E-2</v>
      </c>
      <c r="M67" s="369">
        <f t="shared" si="11"/>
        <v>16.165788538874445</v>
      </c>
      <c r="N67" s="263"/>
    </row>
    <row r="68" spans="1:14" x14ac:dyDescent="0.25">
      <c r="A68" s="217" t="s">
        <v>77</v>
      </c>
      <c r="B68" s="200">
        <v>9</v>
      </c>
      <c r="C68" s="200"/>
      <c r="D68" s="200" t="s">
        <v>14</v>
      </c>
      <c r="E68" s="200" t="s">
        <v>43</v>
      </c>
      <c r="F68" s="202">
        <v>1310507.702</v>
      </c>
      <c r="G68" s="202">
        <v>50727.138339999998</v>
      </c>
      <c r="H68" s="379">
        <v>61568</v>
      </c>
      <c r="I68" s="379">
        <v>3707.47</v>
      </c>
      <c r="J68" s="201">
        <f t="shared" si="8"/>
        <v>1259780.56366</v>
      </c>
      <c r="K68" s="202">
        <f t="shared" si="9"/>
        <v>20.46161258543399</v>
      </c>
      <c r="L68" s="315">
        <f t="shared" si="10"/>
        <v>3.8708004739372373E-2</v>
      </c>
      <c r="M68" s="369">
        <f t="shared" si="11"/>
        <v>16.606472877730635</v>
      </c>
      <c r="N68" s="263"/>
    </row>
    <row r="69" spans="1:14" x14ac:dyDescent="0.25">
      <c r="A69" s="217" t="s">
        <v>77</v>
      </c>
      <c r="B69" s="200">
        <v>9</v>
      </c>
      <c r="C69" s="200"/>
      <c r="D69" s="200" t="s">
        <v>14</v>
      </c>
      <c r="E69" s="200" t="s">
        <v>44</v>
      </c>
      <c r="F69" s="202">
        <v>839696.61300000001</v>
      </c>
      <c r="G69" s="202">
        <v>31772.966939999998</v>
      </c>
      <c r="H69" s="379">
        <v>38935</v>
      </c>
      <c r="I69" s="379">
        <v>2256.69</v>
      </c>
      <c r="J69" s="201">
        <f t="shared" si="8"/>
        <v>807923.64606000006</v>
      </c>
      <c r="K69" s="202">
        <f t="shared" si="9"/>
        <v>20.750575216643124</v>
      </c>
      <c r="L69" s="315">
        <f t="shared" si="10"/>
        <v>3.7838627008967105E-2</v>
      </c>
      <c r="M69" s="369">
        <f t="shared" si="11"/>
        <v>17.253145093034487</v>
      </c>
      <c r="N69" s="263"/>
    </row>
    <row r="70" spans="1:14" x14ac:dyDescent="0.25">
      <c r="A70" s="217" t="s">
        <v>77</v>
      </c>
      <c r="B70" s="200">
        <v>9</v>
      </c>
      <c r="C70" s="200"/>
      <c r="D70" s="200" t="s">
        <v>14</v>
      </c>
      <c r="E70" s="200" t="s">
        <v>23</v>
      </c>
      <c r="F70" s="202">
        <v>6689664.5719999997</v>
      </c>
      <c r="G70" s="202">
        <v>360283.65909999999</v>
      </c>
      <c r="H70" s="379">
        <v>399679</v>
      </c>
      <c r="I70" s="379">
        <v>19781.53</v>
      </c>
      <c r="J70" s="201">
        <f t="shared" si="8"/>
        <v>6329380.9128999999</v>
      </c>
      <c r="K70" s="202">
        <f t="shared" si="9"/>
        <v>15.836160801293037</v>
      </c>
      <c r="L70" s="315">
        <f t="shared" si="10"/>
        <v>5.3856759964915027E-2</v>
      </c>
      <c r="M70" s="369">
        <f t="shared" si="11"/>
        <v>20.204655554954549</v>
      </c>
      <c r="N70" s="263"/>
    </row>
    <row r="71" spans="1:14" x14ac:dyDescent="0.25">
      <c r="A71" s="217" t="s">
        <v>77</v>
      </c>
      <c r="B71" s="200">
        <v>10</v>
      </c>
      <c r="C71" s="200"/>
      <c r="D71" s="200" t="s">
        <v>14</v>
      </c>
      <c r="E71" s="200" t="s">
        <v>43</v>
      </c>
      <c r="F71" s="202">
        <v>2208691.9890000001</v>
      </c>
      <c r="G71" s="202">
        <v>134537.11919999999</v>
      </c>
      <c r="H71" s="379">
        <v>175820</v>
      </c>
      <c r="I71" s="379">
        <v>6606.2399999999898</v>
      </c>
      <c r="J71" s="201">
        <f t="shared" ref="J71:J134" si="12">+F71-G71</f>
        <v>2074154.8698</v>
      </c>
      <c r="K71" s="202">
        <f t="shared" ref="K71:K134" si="13">J71/H71</f>
        <v>11.797036001592538</v>
      </c>
      <c r="L71" s="315">
        <f t="shared" ref="L71:L134" si="14">G71/F71</f>
        <v>6.0912576253293042E-2</v>
      </c>
      <c r="M71" s="369">
        <f t="shared" ref="M71:M134" si="15">H71/I71</f>
        <v>26.61423139334936</v>
      </c>
      <c r="N71" s="263"/>
    </row>
    <row r="72" spans="1:14" x14ac:dyDescent="0.25">
      <c r="A72" s="217" t="s">
        <v>77</v>
      </c>
      <c r="B72" s="200">
        <v>10</v>
      </c>
      <c r="C72" s="200"/>
      <c r="D72" s="200" t="s">
        <v>14</v>
      </c>
      <c r="E72" s="200" t="s">
        <v>44</v>
      </c>
      <c r="F72" s="202">
        <v>2023356.504</v>
      </c>
      <c r="G72" s="202">
        <v>118521.68429999999</v>
      </c>
      <c r="H72" s="379">
        <v>162756</v>
      </c>
      <c r="I72" s="379">
        <v>5777.75</v>
      </c>
      <c r="J72" s="201">
        <f t="shared" si="12"/>
        <v>1904834.8196999999</v>
      </c>
      <c r="K72" s="202">
        <f t="shared" si="13"/>
        <v>11.703622721742976</v>
      </c>
      <c r="L72" s="315">
        <f t="shared" si="14"/>
        <v>5.8576767893197726E-2</v>
      </c>
      <c r="M72" s="369">
        <f t="shared" si="15"/>
        <v>28.169443122322704</v>
      </c>
      <c r="N72" s="263"/>
    </row>
    <row r="73" spans="1:14" x14ac:dyDescent="0.25">
      <c r="A73" s="217" t="s">
        <v>77</v>
      </c>
      <c r="B73" s="200">
        <v>10</v>
      </c>
      <c r="C73" s="200"/>
      <c r="D73" s="200" t="s">
        <v>14</v>
      </c>
      <c r="E73" s="200" t="s">
        <v>23</v>
      </c>
      <c r="F73" s="202">
        <v>13938281.109999999</v>
      </c>
      <c r="G73" s="202">
        <v>1034689.7389999999</v>
      </c>
      <c r="H73" s="379">
        <v>1263671</v>
      </c>
      <c r="I73" s="379">
        <v>41741.730000000003</v>
      </c>
      <c r="J73" s="201">
        <f t="shared" si="12"/>
        <v>12903591.370999999</v>
      </c>
      <c r="K73" s="202">
        <f t="shared" si="13"/>
        <v>10.211195296085769</v>
      </c>
      <c r="L73" s="315">
        <f t="shared" si="14"/>
        <v>7.423366847276909E-2</v>
      </c>
      <c r="M73" s="369">
        <f t="shared" si="15"/>
        <v>30.273565566161245</v>
      </c>
      <c r="N73" s="263"/>
    </row>
    <row r="74" spans="1:14" x14ac:dyDescent="0.25">
      <c r="A74" s="217" t="s">
        <v>77</v>
      </c>
      <c r="B74" s="200">
        <v>11</v>
      </c>
      <c r="C74" s="200"/>
      <c r="D74" s="200" t="s">
        <v>14</v>
      </c>
      <c r="E74" s="200" t="s">
        <v>43</v>
      </c>
      <c r="F74" s="202">
        <v>1852323.6810000001</v>
      </c>
      <c r="G74" s="202">
        <v>100784.0683</v>
      </c>
      <c r="H74" s="379">
        <v>115159</v>
      </c>
      <c r="I74" s="379">
        <v>5539.16</v>
      </c>
      <c r="J74" s="201">
        <f t="shared" si="12"/>
        <v>1751539.6127000002</v>
      </c>
      <c r="K74" s="202">
        <f t="shared" si="13"/>
        <v>15.209750108111395</v>
      </c>
      <c r="L74" s="315">
        <f t="shared" si="14"/>
        <v>5.4409533999797734E-2</v>
      </c>
      <c r="M74" s="369">
        <f t="shared" si="15"/>
        <v>20.789975375327668</v>
      </c>
      <c r="N74" s="263"/>
    </row>
    <row r="75" spans="1:14" x14ac:dyDescent="0.25">
      <c r="A75" s="217" t="s">
        <v>77</v>
      </c>
      <c r="B75" s="200">
        <v>11</v>
      </c>
      <c r="C75" s="200"/>
      <c r="D75" s="200" t="s">
        <v>14</v>
      </c>
      <c r="E75" s="200" t="s">
        <v>44</v>
      </c>
      <c r="F75" s="202">
        <v>1713712.932</v>
      </c>
      <c r="G75" s="202">
        <v>79897.321379999994</v>
      </c>
      <c r="H75" s="379">
        <v>96313</v>
      </c>
      <c r="I75" s="379">
        <v>5109.8999999999996</v>
      </c>
      <c r="J75" s="201">
        <f t="shared" si="12"/>
        <v>1633815.6106199999</v>
      </c>
      <c r="K75" s="202">
        <f t="shared" si="13"/>
        <v>16.963604192788097</v>
      </c>
      <c r="L75" s="315">
        <f t="shared" si="14"/>
        <v>4.6622348403915756E-2</v>
      </c>
      <c r="M75" s="369">
        <f t="shared" si="15"/>
        <v>18.848314057026556</v>
      </c>
      <c r="N75" s="263"/>
    </row>
    <row r="76" spans="1:14" x14ac:dyDescent="0.25">
      <c r="A76" s="217" t="s">
        <v>77</v>
      </c>
      <c r="B76" s="200">
        <v>11</v>
      </c>
      <c r="C76" s="200"/>
      <c r="D76" s="200" t="s">
        <v>14</v>
      </c>
      <c r="E76" s="200" t="s">
        <v>23</v>
      </c>
      <c r="F76" s="202">
        <v>11043001.65</v>
      </c>
      <c r="G76" s="202">
        <v>774691.31</v>
      </c>
      <c r="H76" s="379">
        <v>830775</v>
      </c>
      <c r="I76" s="379">
        <v>33530.1</v>
      </c>
      <c r="J76" s="201">
        <f t="shared" si="12"/>
        <v>10268310.34</v>
      </c>
      <c r="K76" s="202">
        <f t="shared" si="13"/>
        <v>12.359917354277632</v>
      </c>
      <c r="L76" s="315">
        <f t="shared" si="14"/>
        <v>7.0152240717993558E-2</v>
      </c>
      <c r="M76" s="369">
        <f t="shared" si="15"/>
        <v>24.776991419649807</v>
      </c>
      <c r="N76" s="263"/>
    </row>
    <row r="77" spans="1:14" x14ac:dyDescent="0.25">
      <c r="A77" s="217" t="s">
        <v>77</v>
      </c>
      <c r="B77" s="200">
        <v>14</v>
      </c>
      <c r="C77" s="200"/>
      <c r="D77" s="200" t="s">
        <v>14</v>
      </c>
      <c r="E77" s="200" t="s">
        <v>43</v>
      </c>
      <c r="F77" s="202">
        <v>1533452.1240000001</v>
      </c>
      <c r="G77" s="202">
        <v>82427.14589</v>
      </c>
      <c r="H77" s="379">
        <v>107772</v>
      </c>
      <c r="I77" s="379">
        <v>4609.8</v>
      </c>
      <c r="J77" s="201">
        <f t="shared" si="12"/>
        <v>1451024.97811</v>
      </c>
      <c r="K77" s="202">
        <f t="shared" si="13"/>
        <v>13.463840126470698</v>
      </c>
      <c r="L77" s="315">
        <f t="shared" si="14"/>
        <v>5.3752669939893083E-2</v>
      </c>
      <c r="M77" s="369">
        <f t="shared" si="15"/>
        <v>23.378888455030587</v>
      </c>
      <c r="N77" s="263"/>
    </row>
    <row r="78" spans="1:14" x14ac:dyDescent="0.25">
      <c r="A78" s="217" t="s">
        <v>77</v>
      </c>
      <c r="B78" s="200">
        <v>14</v>
      </c>
      <c r="C78" s="200"/>
      <c r="D78" s="200" t="s">
        <v>14</v>
      </c>
      <c r="E78" s="200" t="s">
        <v>44</v>
      </c>
      <c r="F78" s="202">
        <v>1724790.8119999999</v>
      </c>
      <c r="G78" s="202">
        <v>74713.811069999996</v>
      </c>
      <c r="H78" s="379">
        <v>99938</v>
      </c>
      <c r="I78" s="379">
        <v>5141.7</v>
      </c>
      <c r="J78" s="201">
        <f t="shared" si="12"/>
        <v>1650077.0009299999</v>
      </c>
      <c r="K78" s="202">
        <f t="shared" si="13"/>
        <v>16.51100683353679</v>
      </c>
      <c r="L78" s="315">
        <f t="shared" si="14"/>
        <v>4.3317607300658555E-2</v>
      </c>
      <c r="M78" s="369">
        <f t="shared" si="15"/>
        <v>19.436762160374975</v>
      </c>
      <c r="N78" s="263"/>
    </row>
    <row r="79" spans="1:14" x14ac:dyDescent="0.25">
      <c r="A79" s="217" t="s">
        <v>77</v>
      </c>
      <c r="B79" s="200">
        <v>14</v>
      </c>
      <c r="C79" s="200"/>
      <c r="D79" s="200" t="s">
        <v>14</v>
      </c>
      <c r="E79" s="200" t="s">
        <v>23</v>
      </c>
      <c r="F79" s="202">
        <v>10521565.529999999</v>
      </c>
      <c r="G79" s="202">
        <v>724510.51879999996</v>
      </c>
      <c r="H79" s="379">
        <v>850615</v>
      </c>
      <c r="I79" s="379">
        <v>32844.780000000101</v>
      </c>
      <c r="J79" s="201">
        <f t="shared" si="12"/>
        <v>9797055.0111999996</v>
      </c>
      <c r="K79" s="202">
        <f t="shared" si="13"/>
        <v>11.517613739705977</v>
      </c>
      <c r="L79" s="315">
        <f t="shared" si="14"/>
        <v>6.8859573866095578E-2</v>
      </c>
      <c r="M79" s="369">
        <f t="shared" si="15"/>
        <v>25.898027022863218</v>
      </c>
      <c r="N79" s="263"/>
    </row>
    <row r="80" spans="1:14" x14ac:dyDescent="0.25">
      <c r="A80" s="217" t="s">
        <v>77</v>
      </c>
      <c r="B80" s="200">
        <v>17</v>
      </c>
      <c r="C80" s="200"/>
      <c r="D80" s="200" t="s">
        <v>14</v>
      </c>
      <c r="E80" s="200" t="s">
        <v>43</v>
      </c>
      <c r="F80" s="202">
        <v>2016066.7290000001</v>
      </c>
      <c r="G80" s="202">
        <v>107939.1789</v>
      </c>
      <c r="H80" s="379">
        <v>134980</v>
      </c>
      <c r="I80" s="379">
        <v>6019.3</v>
      </c>
      <c r="J80" s="201">
        <f t="shared" si="12"/>
        <v>1908127.5501000001</v>
      </c>
      <c r="K80" s="202">
        <f t="shared" si="13"/>
        <v>14.136372426285376</v>
      </c>
      <c r="L80" s="315">
        <f t="shared" si="14"/>
        <v>5.3539487233906925E-2</v>
      </c>
      <c r="M80" s="369">
        <f t="shared" si="15"/>
        <v>22.424534414300666</v>
      </c>
      <c r="N80" s="263"/>
    </row>
    <row r="81" spans="1:14" x14ac:dyDescent="0.25">
      <c r="A81" s="217" t="s">
        <v>77</v>
      </c>
      <c r="B81" s="200">
        <v>17</v>
      </c>
      <c r="C81" s="200"/>
      <c r="D81" s="200" t="s">
        <v>14</v>
      </c>
      <c r="E81" s="200" t="s">
        <v>44</v>
      </c>
      <c r="F81" s="202">
        <v>1714915.96</v>
      </c>
      <c r="G81" s="202">
        <v>82656.204440000001</v>
      </c>
      <c r="H81" s="379">
        <v>107769</v>
      </c>
      <c r="I81" s="379">
        <v>5108.1400000000003</v>
      </c>
      <c r="J81" s="201">
        <f t="shared" si="12"/>
        <v>1632259.75556</v>
      </c>
      <c r="K81" s="202">
        <f t="shared" si="13"/>
        <v>15.145911677384033</v>
      </c>
      <c r="L81" s="315">
        <f t="shared" si="14"/>
        <v>4.8198399436436529E-2</v>
      </c>
      <c r="M81" s="369">
        <f t="shared" si="15"/>
        <v>21.097503200773666</v>
      </c>
      <c r="N81" s="263"/>
    </row>
    <row r="82" spans="1:14" x14ac:dyDescent="0.25">
      <c r="A82" s="217" t="s">
        <v>77</v>
      </c>
      <c r="B82" s="200">
        <v>17</v>
      </c>
      <c r="C82" s="200"/>
      <c r="D82" s="200" t="s">
        <v>14</v>
      </c>
      <c r="E82" s="200" t="s">
        <v>23</v>
      </c>
      <c r="F82" s="202">
        <v>13120091</v>
      </c>
      <c r="G82" s="202">
        <v>833435.49789999996</v>
      </c>
      <c r="H82" s="379">
        <v>937448</v>
      </c>
      <c r="I82" s="379">
        <v>39610.519999999902</v>
      </c>
      <c r="J82" s="201">
        <f t="shared" si="12"/>
        <v>12286655.5021</v>
      </c>
      <c r="K82" s="202">
        <f t="shared" si="13"/>
        <v>13.106492842376325</v>
      </c>
      <c r="L82" s="315">
        <f t="shared" si="14"/>
        <v>6.352360649785127E-2</v>
      </c>
      <c r="M82" s="369">
        <f t="shared" si="15"/>
        <v>23.666642094070017</v>
      </c>
      <c r="N82" s="263"/>
    </row>
    <row r="83" spans="1:14" x14ac:dyDescent="0.25">
      <c r="A83" s="217" t="s">
        <v>77</v>
      </c>
      <c r="B83" s="200">
        <v>18</v>
      </c>
      <c r="C83" s="200"/>
      <c r="D83" s="200" t="s">
        <v>14</v>
      </c>
      <c r="E83" s="200" t="s">
        <v>43</v>
      </c>
      <c r="F83" s="202">
        <v>2651959.9500000002</v>
      </c>
      <c r="G83" s="202">
        <v>173102.09650000001</v>
      </c>
      <c r="H83" s="379">
        <v>226815</v>
      </c>
      <c r="I83" s="379">
        <v>7632.49999999999</v>
      </c>
      <c r="J83" s="201">
        <f t="shared" si="12"/>
        <v>2478857.8535000002</v>
      </c>
      <c r="K83" s="202">
        <f t="shared" si="13"/>
        <v>10.928985532261976</v>
      </c>
      <c r="L83" s="315">
        <f t="shared" si="14"/>
        <v>6.527326949262563E-2</v>
      </c>
      <c r="M83" s="369">
        <f t="shared" si="15"/>
        <v>29.716999672453362</v>
      </c>
      <c r="N83" s="263"/>
    </row>
    <row r="84" spans="1:14" x14ac:dyDescent="0.25">
      <c r="A84" s="217" t="s">
        <v>77</v>
      </c>
      <c r="B84" s="200">
        <v>18</v>
      </c>
      <c r="C84" s="200"/>
      <c r="D84" s="200" t="s">
        <v>14</v>
      </c>
      <c r="E84" s="200" t="s">
        <v>44</v>
      </c>
      <c r="F84" s="202">
        <v>2823997.682</v>
      </c>
      <c r="G84" s="202">
        <v>170853.92920000001</v>
      </c>
      <c r="H84" s="379">
        <v>231066</v>
      </c>
      <c r="I84" s="379">
        <v>8141.1300000000101</v>
      </c>
      <c r="J84" s="201">
        <f t="shared" si="12"/>
        <v>2653143.7527999999</v>
      </c>
      <c r="K84" s="202">
        <f t="shared" si="13"/>
        <v>11.482190165580397</v>
      </c>
      <c r="L84" s="315">
        <f t="shared" si="14"/>
        <v>6.0500732804779973E-2</v>
      </c>
      <c r="M84" s="369">
        <f t="shared" si="15"/>
        <v>28.382546403263394</v>
      </c>
      <c r="N84" s="263"/>
    </row>
    <row r="85" spans="1:14" x14ac:dyDescent="0.25">
      <c r="A85" s="217" t="s">
        <v>77</v>
      </c>
      <c r="B85" s="200">
        <v>18</v>
      </c>
      <c r="C85" s="200"/>
      <c r="D85" s="200" t="s">
        <v>14</v>
      </c>
      <c r="E85" s="200" t="s">
        <v>23</v>
      </c>
      <c r="F85" s="202">
        <v>15226666.470000001</v>
      </c>
      <c r="G85" s="202">
        <v>1285532.6129999999</v>
      </c>
      <c r="H85" s="379">
        <v>1555543</v>
      </c>
      <c r="I85" s="379">
        <v>45044.209999999897</v>
      </c>
      <c r="J85" s="201">
        <f t="shared" si="12"/>
        <v>13941133.857000001</v>
      </c>
      <c r="K85" s="202">
        <f t="shared" si="13"/>
        <v>8.9622298174978123</v>
      </c>
      <c r="L85" s="315">
        <f t="shared" si="14"/>
        <v>8.4426398616715734E-2</v>
      </c>
      <c r="M85" s="369">
        <f t="shared" si="15"/>
        <v>34.533694785634012</v>
      </c>
      <c r="N85" s="263"/>
    </row>
    <row r="86" spans="1:14" x14ac:dyDescent="0.25">
      <c r="A86" s="217" t="s">
        <v>77</v>
      </c>
      <c r="B86" s="200">
        <v>21</v>
      </c>
      <c r="C86" s="200"/>
      <c r="D86" s="200" t="s">
        <v>14</v>
      </c>
      <c r="E86" s="200" t="s">
        <v>43</v>
      </c>
      <c r="F86" s="202">
        <v>1759437.5319999999</v>
      </c>
      <c r="G86" s="202">
        <v>138717.8621</v>
      </c>
      <c r="H86" s="379">
        <v>175453</v>
      </c>
      <c r="I86" s="379">
        <v>5338.76</v>
      </c>
      <c r="J86" s="201">
        <f t="shared" si="12"/>
        <v>1620719.6698999999</v>
      </c>
      <c r="K86" s="202">
        <f t="shared" si="13"/>
        <v>9.2373437325095598</v>
      </c>
      <c r="L86" s="315">
        <f t="shared" si="14"/>
        <v>7.884216380351719E-2</v>
      </c>
      <c r="M86" s="369">
        <f t="shared" si="15"/>
        <v>32.863998381646674</v>
      </c>
      <c r="N86" s="263"/>
    </row>
    <row r="87" spans="1:14" x14ac:dyDescent="0.25">
      <c r="A87" s="217" t="s">
        <v>77</v>
      </c>
      <c r="B87" s="200">
        <v>21</v>
      </c>
      <c r="C87" s="200"/>
      <c r="D87" s="200" t="s">
        <v>14</v>
      </c>
      <c r="E87" s="200" t="s">
        <v>44</v>
      </c>
      <c r="F87" s="202">
        <v>1733204.845</v>
      </c>
      <c r="G87" s="202">
        <v>122117.0552</v>
      </c>
      <c r="H87" s="379">
        <v>157512</v>
      </c>
      <c r="I87" s="379">
        <v>5219.62</v>
      </c>
      <c r="J87" s="201">
        <f t="shared" si="12"/>
        <v>1611087.7897999999</v>
      </c>
      <c r="K87" s="202">
        <f t="shared" si="13"/>
        <v>10.228349521306313</v>
      </c>
      <c r="L87" s="315">
        <f t="shared" si="14"/>
        <v>7.0457370086569313E-2</v>
      </c>
      <c r="M87" s="369">
        <f t="shared" si="15"/>
        <v>30.176909430188406</v>
      </c>
      <c r="N87" s="263"/>
    </row>
    <row r="88" spans="1:14" x14ac:dyDescent="0.25">
      <c r="A88" s="217" t="s">
        <v>77</v>
      </c>
      <c r="B88" s="200">
        <v>21</v>
      </c>
      <c r="C88" s="200"/>
      <c r="D88" s="200" t="s">
        <v>14</v>
      </c>
      <c r="E88" s="200" t="s">
        <v>23</v>
      </c>
      <c r="F88" s="202">
        <v>10122179.43</v>
      </c>
      <c r="G88" s="202">
        <v>928555.88130000001</v>
      </c>
      <c r="H88" s="379">
        <v>1092528</v>
      </c>
      <c r="I88" s="379">
        <v>31188.92</v>
      </c>
      <c r="J88" s="201">
        <f t="shared" si="12"/>
        <v>9193623.5486999992</v>
      </c>
      <c r="K88" s="202">
        <f t="shared" si="13"/>
        <v>8.4150003923926882</v>
      </c>
      <c r="L88" s="315">
        <f t="shared" si="14"/>
        <v>9.1734777843194198E-2</v>
      </c>
      <c r="M88" s="369">
        <f t="shared" si="15"/>
        <v>35.029362991729116</v>
      </c>
      <c r="N88" s="263"/>
    </row>
    <row r="89" spans="1:14" x14ac:dyDescent="0.25">
      <c r="A89" s="217" t="s">
        <v>77</v>
      </c>
      <c r="B89" s="200">
        <v>22</v>
      </c>
      <c r="C89" s="200"/>
      <c r="D89" s="200" t="s">
        <v>14</v>
      </c>
      <c r="E89" s="200" t="s">
        <v>43</v>
      </c>
      <c r="F89" s="202">
        <v>1420825.818</v>
      </c>
      <c r="G89" s="202">
        <v>64168.633800000003</v>
      </c>
      <c r="H89" s="379">
        <v>85805</v>
      </c>
      <c r="I89" s="379">
        <v>4716.03</v>
      </c>
      <c r="J89" s="201">
        <f t="shared" si="12"/>
        <v>1356657.1842</v>
      </c>
      <c r="K89" s="202">
        <f t="shared" si="13"/>
        <v>15.81093391061127</v>
      </c>
      <c r="L89" s="315">
        <f t="shared" si="14"/>
        <v>4.5162913699249803E-2</v>
      </c>
      <c r="M89" s="369">
        <f t="shared" si="15"/>
        <v>18.194328704439965</v>
      </c>
      <c r="N89" s="263"/>
    </row>
    <row r="90" spans="1:14" x14ac:dyDescent="0.25">
      <c r="A90" s="217" t="s">
        <v>77</v>
      </c>
      <c r="B90" s="200">
        <v>22</v>
      </c>
      <c r="C90" s="200"/>
      <c r="D90" s="200" t="s">
        <v>14</v>
      </c>
      <c r="E90" s="200" t="s">
        <v>44</v>
      </c>
      <c r="F90" s="202">
        <v>1629477.125</v>
      </c>
      <c r="G90" s="202">
        <v>61484.406860000003</v>
      </c>
      <c r="H90" s="379">
        <v>83880</v>
      </c>
      <c r="I90" s="379">
        <v>5202.8</v>
      </c>
      <c r="J90" s="201">
        <f t="shared" si="12"/>
        <v>1567992.71814</v>
      </c>
      <c r="K90" s="202">
        <f t="shared" si="13"/>
        <v>18.693284670243205</v>
      </c>
      <c r="L90" s="315">
        <f t="shared" si="14"/>
        <v>3.7732598952562778E-2</v>
      </c>
      <c r="M90" s="369">
        <f t="shared" si="15"/>
        <v>16.122088106404242</v>
      </c>
      <c r="N90" s="263"/>
    </row>
    <row r="91" spans="1:14" x14ac:dyDescent="0.25">
      <c r="A91" s="217" t="s">
        <v>77</v>
      </c>
      <c r="B91" s="200">
        <v>22</v>
      </c>
      <c r="C91" s="200"/>
      <c r="D91" s="200" t="s">
        <v>14</v>
      </c>
      <c r="E91" s="200" t="s">
        <v>23</v>
      </c>
      <c r="F91" s="202">
        <v>11727008.810000001</v>
      </c>
      <c r="G91" s="202">
        <v>682379.01489999995</v>
      </c>
      <c r="H91" s="379">
        <v>795499</v>
      </c>
      <c r="I91" s="379">
        <v>37434.620000000003</v>
      </c>
      <c r="J91" s="201">
        <f t="shared" si="12"/>
        <v>11044629.7951</v>
      </c>
      <c r="K91" s="202">
        <f t="shared" si="13"/>
        <v>13.883901544942232</v>
      </c>
      <c r="L91" s="315">
        <f t="shared" si="14"/>
        <v>5.8188667370839976E-2</v>
      </c>
      <c r="M91" s="369">
        <f t="shared" si="15"/>
        <v>21.250355953927137</v>
      </c>
      <c r="N91" s="263"/>
    </row>
    <row r="92" spans="1:14" x14ac:dyDescent="0.25">
      <c r="A92" s="217" t="s">
        <v>77</v>
      </c>
      <c r="B92" s="200">
        <v>25</v>
      </c>
      <c r="C92" s="200"/>
      <c r="D92" s="200" t="s">
        <v>14</v>
      </c>
      <c r="E92" s="200" t="s">
        <v>23</v>
      </c>
      <c r="F92" s="202">
        <v>2357291.2988621499</v>
      </c>
      <c r="G92" s="202">
        <v>96636.691380000004</v>
      </c>
      <c r="H92" s="379">
        <v>91860</v>
      </c>
      <c r="I92" s="379">
        <v>6953.5600000000304</v>
      </c>
      <c r="J92" s="201">
        <f t="shared" si="12"/>
        <v>2260654.6074821497</v>
      </c>
      <c r="K92" s="202">
        <f t="shared" si="13"/>
        <v>24.609782358830284</v>
      </c>
      <c r="L92" s="315">
        <f t="shared" si="14"/>
        <v>4.0994802562859305E-2</v>
      </c>
      <c r="M92" s="369">
        <f t="shared" si="15"/>
        <v>13.210499370106765</v>
      </c>
      <c r="N92" s="263"/>
    </row>
    <row r="93" spans="1:14" x14ac:dyDescent="0.25">
      <c r="A93" s="217" t="s">
        <v>77</v>
      </c>
      <c r="B93" s="200">
        <v>54</v>
      </c>
      <c r="C93" s="200"/>
      <c r="D93" s="200" t="s">
        <v>14</v>
      </c>
      <c r="E93" s="200" t="s">
        <v>43</v>
      </c>
      <c r="F93" s="202">
        <v>1965720.9750000001</v>
      </c>
      <c r="G93" s="202">
        <v>155958.33609999999</v>
      </c>
      <c r="H93" s="379">
        <v>173356</v>
      </c>
      <c r="I93" s="379">
        <v>5945.03999999999</v>
      </c>
      <c r="J93" s="201">
        <f t="shared" si="12"/>
        <v>1809762.6389000001</v>
      </c>
      <c r="K93" s="202">
        <f t="shared" si="13"/>
        <v>10.439573126398857</v>
      </c>
      <c r="L93" s="315">
        <f t="shared" si="14"/>
        <v>7.9338999829311974E-2</v>
      </c>
      <c r="M93" s="369">
        <f t="shared" si="15"/>
        <v>29.159770161344632</v>
      </c>
      <c r="N93" s="263"/>
    </row>
    <row r="94" spans="1:14" x14ac:dyDescent="0.25">
      <c r="A94" s="217" t="s">
        <v>77</v>
      </c>
      <c r="B94" s="200">
        <v>54</v>
      </c>
      <c r="C94" s="200"/>
      <c r="D94" s="200" t="s">
        <v>14</v>
      </c>
      <c r="E94" s="200" t="s">
        <v>44</v>
      </c>
      <c r="F94" s="202">
        <v>1755059.848</v>
      </c>
      <c r="G94" s="202">
        <v>124073.38499999999</v>
      </c>
      <c r="H94" s="379">
        <v>145554</v>
      </c>
      <c r="I94" s="379">
        <v>5082.68</v>
      </c>
      <c r="J94" s="201">
        <f t="shared" si="12"/>
        <v>1630986.463</v>
      </c>
      <c r="K94" s="202">
        <f t="shared" si="13"/>
        <v>11.205370261208898</v>
      </c>
      <c r="L94" s="315">
        <f t="shared" si="14"/>
        <v>7.0694674680974179E-2</v>
      </c>
      <c r="M94" s="369">
        <f t="shared" si="15"/>
        <v>28.637254361872081</v>
      </c>
      <c r="N94" s="263"/>
    </row>
    <row r="95" spans="1:14" x14ac:dyDescent="0.25">
      <c r="A95" s="217" t="s">
        <v>77</v>
      </c>
      <c r="B95" s="200">
        <v>54</v>
      </c>
      <c r="C95" s="200"/>
      <c r="D95" s="200" t="s">
        <v>14</v>
      </c>
      <c r="E95" s="200" t="s">
        <v>23</v>
      </c>
      <c r="F95" s="202">
        <v>12467009.279999999</v>
      </c>
      <c r="G95" s="202">
        <v>1024906.394</v>
      </c>
      <c r="H95" s="379">
        <v>1051358</v>
      </c>
      <c r="I95" s="379">
        <v>37593.790000000103</v>
      </c>
      <c r="J95" s="201">
        <f t="shared" si="12"/>
        <v>11442102.886</v>
      </c>
      <c r="K95" s="202">
        <f t="shared" si="13"/>
        <v>10.883165283376357</v>
      </c>
      <c r="L95" s="315">
        <f t="shared" si="14"/>
        <v>8.220948352418328E-2</v>
      </c>
      <c r="M95" s="369">
        <f t="shared" si="15"/>
        <v>27.966267833064904</v>
      </c>
      <c r="N95" s="263"/>
    </row>
    <row r="96" spans="1:14" x14ac:dyDescent="0.25">
      <c r="A96" s="217" t="s">
        <v>77</v>
      </c>
      <c r="B96" s="200">
        <v>61</v>
      </c>
      <c r="C96" s="200"/>
      <c r="D96" s="200" t="s">
        <v>14</v>
      </c>
      <c r="E96" s="200" t="s">
        <v>43</v>
      </c>
      <c r="F96" s="202">
        <v>858240.90280000004</v>
      </c>
      <c r="G96" s="202">
        <v>31647.408909999998</v>
      </c>
      <c r="H96" s="379">
        <v>39592</v>
      </c>
      <c r="I96" s="379">
        <v>2613.04</v>
      </c>
      <c r="J96" s="201">
        <f t="shared" si="12"/>
        <v>826593.49389000004</v>
      </c>
      <c r="K96" s="202">
        <f t="shared" si="13"/>
        <v>20.877790813548192</v>
      </c>
      <c r="L96" s="315">
        <f t="shared" si="14"/>
        <v>3.687473855738025E-2</v>
      </c>
      <c r="M96" s="369">
        <f t="shared" si="15"/>
        <v>15.151700701099104</v>
      </c>
      <c r="N96" s="263"/>
    </row>
    <row r="97" spans="1:14" x14ac:dyDescent="0.25">
      <c r="A97" s="217" t="s">
        <v>77</v>
      </c>
      <c r="B97" s="200">
        <v>61</v>
      </c>
      <c r="C97" s="200"/>
      <c r="D97" s="200" t="s">
        <v>14</v>
      </c>
      <c r="E97" s="200" t="s">
        <v>23</v>
      </c>
      <c r="F97" s="202">
        <v>6872641.7400000002</v>
      </c>
      <c r="G97" s="202">
        <v>395894.62939999998</v>
      </c>
      <c r="H97" s="379">
        <v>408642</v>
      </c>
      <c r="I97" s="379">
        <v>21222.89</v>
      </c>
      <c r="J97" s="201">
        <f t="shared" si="12"/>
        <v>6476747.1106000002</v>
      </c>
      <c r="K97" s="202">
        <f t="shared" si="13"/>
        <v>15.849440612076096</v>
      </c>
      <c r="L97" s="315">
        <f t="shared" si="14"/>
        <v>5.7604432818871183E-2</v>
      </c>
      <c r="M97" s="369">
        <f t="shared" si="15"/>
        <v>19.254776328765782</v>
      </c>
      <c r="N97" s="263"/>
    </row>
    <row r="98" spans="1:14" x14ac:dyDescent="0.25">
      <c r="A98" s="217" t="s">
        <v>77</v>
      </c>
      <c r="B98" s="200">
        <v>62</v>
      </c>
      <c r="C98" s="200"/>
      <c r="D98" s="200" t="s">
        <v>14</v>
      </c>
      <c r="E98" s="200" t="s">
        <v>43</v>
      </c>
      <c r="F98" s="202">
        <v>1290898.828</v>
      </c>
      <c r="G98" s="202">
        <v>48679.185169999997</v>
      </c>
      <c r="H98" s="379">
        <v>63243</v>
      </c>
      <c r="I98" s="379">
        <v>3411.5</v>
      </c>
      <c r="J98" s="201">
        <f t="shared" si="12"/>
        <v>1242219.64283</v>
      </c>
      <c r="K98" s="202">
        <f t="shared" si="13"/>
        <v>19.642010069572919</v>
      </c>
      <c r="L98" s="315">
        <f t="shared" si="14"/>
        <v>3.7709527744648322E-2</v>
      </c>
      <c r="M98" s="369">
        <f t="shared" si="15"/>
        <v>18.538179686354976</v>
      </c>
      <c r="N98" s="263"/>
    </row>
    <row r="99" spans="1:14" x14ac:dyDescent="0.25">
      <c r="A99" s="217" t="s">
        <v>77</v>
      </c>
      <c r="B99" s="200">
        <v>62</v>
      </c>
      <c r="C99" s="200"/>
      <c r="D99" s="200" t="s">
        <v>14</v>
      </c>
      <c r="E99" s="200" t="s">
        <v>44</v>
      </c>
      <c r="F99" s="202">
        <v>825751.99450000003</v>
      </c>
      <c r="G99" s="202">
        <v>39172.406690000003</v>
      </c>
      <c r="H99" s="379">
        <v>51181</v>
      </c>
      <c r="I99" s="379">
        <v>2261.2600000000002</v>
      </c>
      <c r="J99" s="201">
        <f t="shared" si="12"/>
        <v>786579.58781000006</v>
      </c>
      <c r="K99" s="202">
        <f t="shared" si="13"/>
        <v>15.368585760536137</v>
      </c>
      <c r="L99" s="315">
        <f t="shared" si="14"/>
        <v>4.7438464515873476E-2</v>
      </c>
      <c r="M99" s="369">
        <f t="shared" si="15"/>
        <v>22.633841309712281</v>
      </c>
      <c r="N99" s="263"/>
    </row>
    <row r="100" spans="1:14" x14ac:dyDescent="0.25">
      <c r="A100" s="217" t="s">
        <v>77</v>
      </c>
      <c r="B100" s="200">
        <v>62</v>
      </c>
      <c r="C100" s="200"/>
      <c r="D100" s="200" t="s">
        <v>14</v>
      </c>
      <c r="E100" s="200" t="s">
        <v>23</v>
      </c>
      <c r="F100" s="202">
        <v>6844938.6859999998</v>
      </c>
      <c r="G100" s="202">
        <v>356201.32659999997</v>
      </c>
      <c r="H100" s="379">
        <v>412330</v>
      </c>
      <c r="I100" s="379">
        <v>19481.62</v>
      </c>
      <c r="J100" s="201">
        <f t="shared" si="12"/>
        <v>6488737.3593999995</v>
      </c>
      <c r="K100" s="202">
        <f t="shared" si="13"/>
        <v>15.736757838139352</v>
      </c>
      <c r="L100" s="315">
        <f t="shared" si="14"/>
        <v>5.2038643871060671E-2</v>
      </c>
      <c r="M100" s="369">
        <f t="shared" si="15"/>
        <v>21.165077647546767</v>
      </c>
      <c r="N100" s="263"/>
    </row>
    <row r="101" spans="1:14" x14ac:dyDescent="0.25">
      <c r="A101" s="217" t="s">
        <v>77</v>
      </c>
      <c r="B101" s="200">
        <v>63</v>
      </c>
      <c r="C101" s="200"/>
      <c r="D101" s="200" t="s">
        <v>14</v>
      </c>
      <c r="E101" s="200" t="s">
        <v>43</v>
      </c>
      <c r="F101" s="202">
        <v>1844835.7890000001</v>
      </c>
      <c r="G101" s="202">
        <v>92425.976079999993</v>
      </c>
      <c r="H101" s="379">
        <v>100582</v>
      </c>
      <c r="I101" s="379">
        <v>5618.96000000001</v>
      </c>
      <c r="J101" s="201">
        <f t="shared" si="12"/>
        <v>1752409.8129200002</v>
      </c>
      <c r="K101" s="202">
        <f t="shared" si="13"/>
        <v>17.422698026684696</v>
      </c>
      <c r="L101" s="315">
        <f t="shared" si="14"/>
        <v>5.0099839037760552E-2</v>
      </c>
      <c r="M101" s="369">
        <f t="shared" si="15"/>
        <v>17.900465566581683</v>
      </c>
      <c r="N101" s="263"/>
    </row>
    <row r="102" spans="1:14" x14ac:dyDescent="0.25">
      <c r="A102" s="217" t="s">
        <v>77</v>
      </c>
      <c r="B102" s="200">
        <v>63</v>
      </c>
      <c r="C102" s="200"/>
      <c r="D102" s="200" t="s">
        <v>14</v>
      </c>
      <c r="E102" s="200" t="s">
        <v>44</v>
      </c>
      <c r="F102" s="202">
        <v>1657347.2660000001</v>
      </c>
      <c r="G102" s="202">
        <v>72798.202850000001</v>
      </c>
      <c r="H102" s="379">
        <v>83691</v>
      </c>
      <c r="I102" s="379">
        <v>4814.1899999999996</v>
      </c>
      <c r="J102" s="201">
        <f t="shared" si="12"/>
        <v>1584549.0631500001</v>
      </c>
      <c r="K102" s="202">
        <f t="shared" si="13"/>
        <v>18.933326918665092</v>
      </c>
      <c r="L102" s="315">
        <f t="shared" si="14"/>
        <v>4.3924531897106954E-2</v>
      </c>
      <c r="M102" s="369">
        <f t="shared" si="15"/>
        <v>17.384232861602889</v>
      </c>
      <c r="N102" s="263"/>
    </row>
    <row r="103" spans="1:14" x14ac:dyDescent="0.25">
      <c r="A103" s="217" t="s">
        <v>77</v>
      </c>
      <c r="B103" s="200">
        <v>63</v>
      </c>
      <c r="C103" s="200"/>
      <c r="D103" s="200" t="s">
        <v>14</v>
      </c>
      <c r="E103" s="200" t="s">
        <v>23</v>
      </c>
      <c r="F103" s="202">
        <v>10897077.25</v>
      </c>
      <c r="G103" s="202">
        <v>691123.96149999998</v>
      </c>
      <c r="H103" s="379">
        <v>686049</v>
      </c>
      <c r="I103" s="379">
        <v>33288.659999999902</v>
      </c>
      <c r="J103" s="201">
        <f t="shared" si="12"/>
        <v>10205953.2885</v>
      </c>
      <c r="K103" s="202">
        <f t="shared" si="13"/>
        <v>14.876420326390681</v>
      </c>
      <c r="L103" s="315">
        <f t="shared" si="14"/>
        <v>6.3422874376705005E-2</v>
      </c>
      <c r="M103" s="369">
        <f t="shared" si="15"/>
        <v>20.609090302823905</v>
      </c>
      <c r="N103" s="263"/>
    </row>
    <row r="104" spans="1:14" x14ac:dyDescent="0.25">
      <c r="A104" s="217" t="s">
        <v>77</v>
      </c>
      <c r="B104" s="200">
        <v>64</v>
      </c>
      <c r="C104" s="200"/>
      <c r="D104" s="200" t="s">
        <v>14</v>
      </c>
      <c r="E104" s="200" t="s">
        <v>43</v>
      </c>
      <c r="F104" s="202">
        <v>1681555.8119999999</v>
      </c>
      <c r="G104" s="202">
        <v>91236.568310000002</v>
      </c>
      <c r="H104" s="379">
        <v>122677</v>
      </c>
      <c r="I104" s="379">
        <v>4975.68</v>
      </c>
      <c r="J104" s="201">
        <f t="shared" si="12"/>
        <v>1590319.2436899999</v>
      </c>
      <c r="K104" s="202">
        <f t="shared" si="13"/>
        <v>12.963467020631413</v>
      </c>
      <c r="L104" s="315">
        <f t="shared" si="14"/>
        <v>5.4257234674527713E-2</v>
      </c>
      <c r="M104" s="369">
        <f t="shared" si="15"/>
        <v>24.655323493472249</v>
      </c>
      <c r="N104" s="263"/>
    </row>
    <row r="105" spans="1:14" x14ac:dyDescent="0.25">
      <c r="A105" s="217" t="s">
        <v>77</v>
      </c>
      <c r="B105" s="200">
        <v>64</v>
      </c>
      <c r="C105" s="200"/>
      <c r="D105" s="200" t="s">
        <v>14</v>
      </c>
      <c r="E105" s="200" t="s">
        <v>44</v>
      </c>
      <c r="F105" s="202">
        <v>1377765.0649999999</v>
      </c>
      <c r="G105" s="202">
        <v>85289.529479999997</v>
      </c>
      <c r="H105" s="379">
        <v>119279</v>
      </c>
      <c r="I105" s="379">
        <v>4084.4099999999899</v>
      </c>
      <c r="J105" s="201">
        <f t="shared" si="12"/>
        <v>1292475.5355199999</v>
      </c>
      <c r="K105" s="202">
        <f t="shared" si="13"/>
        <v>10.835734165444043</v>
      </c>
      <c r="L105" s="315">
        <f t="shared" si="14"/>
        <v>6.1904261943236311E-2</v>
      </c>
      <c r="M105" s="369">
        <f t="shared" si="15"/>
        <v>29.203483489659533</v>
      </c>
      <c r="N105" s="263"/>
    </row>
    <row r="106" spans="1:14" x14ac:dyDescent="0.25">
      <c r="A106" s="217" t="s">
        <v>77</v>
      </c>
      <c r="B106" s="200">
        <v>64</v>
      </c>
      <c r="C106" s="200"/>
      <c r="D106" s="200" t="s">
        <v>14</v>
      </c>
      <c r="E106" s="200" t="s">
        <v>23</v>
      </c>
      <c r="F106" s="202">
        <v>9754186.6339999996</v>
      </c>
      <c r="G106" s="202">
        <v>668874.74040000001</v>
      </c>
      <c r="H106" s="379">
        <v>816424</v>
      </c>
      <c r="I106" s="379">
        <v>28005.84</v>
      </c>
      <c r="J106" s="201">
        <f t="shared" si="12"/>
        <v>9085311.8936000001</v>
      </c>
      <c r="K106" s="202">
        <f t="shared" si="13"/>
        <v>11.128178365163199</v>
      </c>
      <c r="L106" s="315">
        <f t="shared" si="14"/>
        <v>6.8573092303618105E-2</v>
      </c>
      <c r="M106" s="369">
        <f t="shared" si="15"/>
        <v>29.151919742453718</v>
      </c>
      <c r="N106" s="263"/>
    </row>
    <row r="107" spans="1:14" x14ac:dyDescent="0.25">
      <c r="A107" s="217" t="s">
        <v>77</v>
      </c>
      <c r="B107" s="200">
        <v>68</v>
      </c>
      <c r="C107" s="200"/>
      <c r="D107" s="200" t="s">
        <v>14</v>
      </c>
      <c r="E107" s="200" t="s">
        <v>43</v>
      </c>
      <c r="F107" s="202">
        <v>1742781.327</v>
      </c>
      <c r="G107" s="202">
        <v>87312.031700000007</v>
      </c>
      <c r="H107" s="379">
        <v>104362</v>
      </c>
      <c r="I107" s="379">
        <v>5251.77</v>
      </c>
      <c r="J107" s="201">
        <f t="shared" si="12"/>
        <v>1655469.2953000001</v>
      </c>
      <c r="K107" s="202">
        <f t="shared" si="13"/>
        <v>15.862759388474734</v>
      </c>
      <c r="L107" s="315">
        <f t="shared" si="14"/>
        <v>5.0099246731256722E-2</v>
      </c>
      <c r="M107" s="369">
        <f t="shared" si="15"/>
        <v>19.87177656294925</v>
      </c>
      <c r="N107" s="263"/>
    </row>
    <row r="108" spans="1:14" x14ac:dyDescent="0.25">
      <c r="A108" s="217" t="s">
        <v>77</v>
      </c>
      <c r="B108" s="200">
        <v>68</v>
      </c>
      <c r="C108" s="200"/>
      <c r="D108" s="200" t="s">
        <v>14</v>
      </c>
      <c r="E108" s="200" t="s">
        <v>44</v>
      </c>
      <c r="F108" s="202">
        <v>1600308.4779999999</v>
      </c>
      <c r="G108" s="202">
        <v>77691.572310000003</v>
      </c>
      <c r="H108" s="379">
        <v>94668</v>
      </c>
      <c r="I108" s="379">
        <v>4717.0600000000004</v>
      </c>
      <c r="J108" s="201">
        <f t="shared" si="12"/>
        <v>1522616.9056899999</v>
      </c>
      <c r="K108" s="202">
        <f t="shared" si="13"/>
        <v>16.08375486637512</v>
      </c>
      <c r="L108" s="315">
        <f t="shared" si="14"/>
        <v>4.8547872724573546E-2</v>
      </c>
      <c r="M108" s="369">
        <f t="shared" si="15"/>
        <v>20.069280441631015</v>
      </c>
      <c r="N108" s="263"/>
    </row>
    <row r="109" spans="1:14" x14ac:dyDescent="0.25">
      <c r="A109" s="217" t="s">
        <v>77</v>
      </c>
      <c r="B109" s="200">
        <v>68</v>
      </c>
      <c r="C109" s="200"/>
      <c r="D109" s="200" t="s">
        <v>14</v>
      </c>
      <c r="E109" s="200" t="s">
        <v>23</v>
      </c>
      <c r="F109" s="202">
        <v>9414694.1309999991</v>
      </c>
      <c r="G109" s="202">
        <v>584438.66610000003</v>
      </c>
      <c r="H109" s="379">
        <v>610769</v>
      </c>
      <c r="I109" s="379">
        <v>28294.080000000002</v>
      </c>
      <c r="J109" s="201">
        <f t="shared" si="12"/>
        <v>8830255.4648999982</v>
      </c>
      <c r="K109" s="202">
        <f t="shared" si="13"/>
        <v>14.457602571348575</v>
      </c>
      <c r="L109" s="315">
        <f t="shared" si="14"/>
        <v>6.2077286629589397E-2</v>
      </c>
      <c r="M109" s="369">
        <f t="shared" si="15"/>
        <v>21.586459075538063</v>
      </c>
      <c r="N109" s="263"/>
    </row>
    <row r="110" spans="1:14" x14ac:dyDescent="0.25">
      <c r="A110" s="217" t="s">
        <v>77</v>
      </c>
      <c r="B110" s="200">
        <v>70</v>
      </c>
      <c r="C110" s="200"/>
      <c r="D110" s="200" t="s">
        <v>14</v>
      </c>
      <c r="E110" s="200" t="s">
        <v>43</v>
      </c>
      <c r="F110" s="202">
        <v>22058</v>
      </c>
      <c r="G110" s="202">
        <v>950</v>
      </c>
      <c r="H110" s="379">
        <v>1894</v>
      </c>
      <c r="I110" s="379">
        <v>181.24</v>
      </c>
      <c r="J110" s="201">
        <f t="shared" si="12"/>
        <v>21108</v>
      </c>
      <c r="K110" s="202">
        <f t="shared" si="13"/>
        <v>11.144667370644139</v>
      </c>
      <c r="L110" s="315">
        <f t="shared" si="14"/>
        <v>4.3068274548916492E-2</v>
      </c>
      <c r="M110" s="369">
        <f t="shared" si="15"/>
        <v>10.450231736923415</v>
      </c>
      <c r="N110" s="263"/>
    </row>
    <row r="111" spans="1:14" x14ac:dyDescent="0.25">
      <c r="A111" s="217" t="s">
        <v>77</v>
      </c>
      <c r="B111" s="200">
        <v>70</v>
      </c>
      <c r="C111" s="200"/>
      <c r="D111" s="200" t="s">
        <v>14</v>
      </c>
      <c r="E111" s="200" t="s">
        <v>44</v>
      </c>
      <c r="F111" s="202">
        <v>22983</v>
      </c>
      <c r="G111" s="202">
        <v>690</v>
      </c>
      <c r="H111" s="379">
        <v>1712</v>
      </c>
      <c r="I111" s="379">
        <v>188</v>
      </c>
      <c r="J111" s="201">
        <f t="shared" si="12"/>
        <v>22293</v>
      </c>
      <c r="K111" s="202">
        <f t="shared" si="13"/>
        <v>13.021612149532711</v>
      </c>
      <c r="L111" s="315">
        <f t="shared" si="14"/>
        <v>3.0022190314580342E-2</v>
      </c>
      <c r="M111" s="369">
        <f t="shared" si="15"/>
        <v>9.1063829787234045</v>
      </c>
      <c r="N111" s="263"/>
    </row>
    <row r="112" spans="1:14" x14ac:dyDescent="0.25">
      <c r="A112" s="217" t="s">
        <v>77</v>
      </c>
      <c r="B112" s="200">
        <v>70</v>
      </c>
      <c r="C112" s="200"/>
      <c r="D112" s="200" t="s">
        <v>14</v>
      </c>
      <c r="E112" s="200" t="s">
        <v>23</v>
      </c>
      <c r="F112" s="202">
        <v>190560</v>
      </c>
      <c r="G112" s="202">
        <v>12671</v>
      </c>
      <c r="H112" s="379">
        <v>18196</v>
      </c>
      <c r="I112" s="379">
        <v>1579.92</v>
      </c>
      <c r="J112" s="201">
        <f t="shared" si="12"/>
        <v>177889</v>
      </c>
      <c r="K112" s="202">
        <f t="shared" si="13"/>
        <v>9.7762695097823702</v>
      </c>
      <c r="L112" s="315">
        <f t="shared" si="14"/>
        <v>6.6493492863140213E-2</v>
      </c>
      <c r="M112" s="369">
        <f t="shared" si="15"/>
        <v>11.517038837409489</v>
      </c>
      <c r="N112" s="263"/>
    </row>
    <row r="113" spans="1:14" x14ac:dyDescent="0.25">
      <c r="A113" s="217" t="s">
        <v>77</v>
      </c>
      <c r="B113" s="200">
        <v>71</v>
      </c>
      <c r="C113" s="200"/>
      <c r="D113" s="200" t="s">
        <v>14</v>
      </c>
      <c r="E113" s="200" t="s">
        <v>43</v>
      </c>
      <c r="F113" s="202">
        <v>770403.17339999997</v>
      </c>
      <c r="G113" s="202">
        <v>18558.833299999998</v>
      </c>
      <c r="H113" s="379">
        <v>21580</v>
      </c>
      <c r="I113" s="379">
        <v>2072.61</v>
      </c>
      <c r="J113" s="201">
        <f t="shared" si="12"/>
        <v>751844.34009999991</v>
      </c>
      <c r="K113" s="202">
        <f t="shared" si="13"/>
        <v>34.839867474513433</v>
      </c>
      <c r="L113" s="315">
        <f t="shared" si="14"/>
        <v>2.4089767463047678E-2</v>
      </c>
      <c r="M113" s="369">
        <f t="shared" si="15"/>
        <v>10.411992608353717</v>
      </c>
      <c r="N113" s="263"/>
    </row>
    <row r="114" spans="1:14" x14ac:dyDescent="0.25">
      <c r="A114" s="217" t="s">
        <v>77</v>
      </c>
      <c r="B114" s="200">
        <v>71</v>
      </c>
      <c r="C114" s="200"/>
      <c r="D114" s="200" t="s">
        <v>14</v>
      </c>
      <c r="E114" s="200" t="s">
        <v>44</v>
      </c>
      <c r="F114" s="202">
        <v>333620.58130000002</v>
      </c>
      <c r="G114" s="202">
        <v>9747.7141439999996</v>
      </c>
      <c r="H114" s="379">
        <v>11919</v>
      </c>
      <c r="I114" s="379">
        <v>875.68</v>
      </c>
      <c r="J114" s="201">
        <f t="shared" si="12"/>
        <v>323872.86715599999</v>
      </c>
      <c r="K114" s="202">
        <f t="shared" si="13"/>
        <v>27.172822145817602</v>
      </c>
      <c r="L114" s="315">
        <f t="shared" si="14"/>
        <v>2.921796402972696E-2</v>
      </c>
      <c r="M114" s="369">
        <f t="shared" si="15"/>
        <v>13.611136488214873</v>
      </c>
      <c r="N114" s="263"/>
    </row>
    <row r="115" spans="1:14" x14ac:dyDescent="0.25">
      <c r="A115" s="217" t="s">
        <v>77</v>
      </c>
      <c r="B115" s="200">
        <v>71</v>
      </c>
      <c r="C115" s="200"/>
      <c r="D115" s="200" t="s">
        <v>14</v>
      </c>
      <c r="E115" s="200" t="s">
        <v>23</v>
      </c>
      <c r="F115" s="202">
        <v>5558288.6459999997</v>
      </c>
      <c r="G115" s="202">
        <v>190471.5221</v>
      </c>
      <c r="H115" s="379">
        <v>194372</v>
      </c>
      <c r="I115" s="379">
        <v>15878.84</v>
      </c>
      <c r="J115" s="201">
        <f t="shared" si="12"/>
        <v>5367817.1239</v>
      </c>
      <c r="K115" s="202">
        <f t="shared" si="13"/>
        <v>27.616205646389396</v>
      </c>
      <c r="L115" s="315">
        <f t="shared" si="14"/>
        <v>3.4268015612516287E-2</v>
      </c>
      <c r="M115" s="369">
        <f t="shared" si="15"/>
        <v>12.24094455262475</v>
      </c>
      <c r="N115" s="263"/>
    </row>
    <row r="116" spans="1:14" x14ac:dyDescent="0.25">
      <c r="A116" s="217" t="s">
        <v>77</v>
      </c>
      <c r="B116" s="200">
        <v>72</v>
      </c>
      <c r="C116" s="200"/>
      <c r="D116" s="200" t="s">
        <v>14</v>
      </c>
      <c r="E116" s="200" t="s">
        <v>43</v>
      </c>
      <c r="F116" s="202">
        <v>159329</v>
      </c>
      <c r="G116" s="202">
        <v>6793</v>
      </c>
      <c r="H116" s="379">
        <v>13823</v>
      </c>
      <c r="I116" s="379">
        <v>1309.7500000000002</v>
      </c>
      <c r="J116" s="201">
        <f t="shared" si="12"/>
        <v>152536</v>
      </c>
      <c r="K116" s="202">
        <f t="shared" si="13"/>
        <v>11.034941763727122</v>
      </c>
      <c r="L116" s="315">
        <f t="shared" si="14"/>
        <v>4.2635050744057892E-2</v>
      </c>
      <c r="M116" s="369">
        <f t="shared" si="15"/>
        <v>10.553922504294711</v>
      </c>
      <c r="N116" s="263"/>
    </row>
    <row r="117" spans="1:14" x14ac:dyDescent="0.25">
      <c r="A117" s="217" t="s">
        <v>77</v>
      </c>
      <c r="B117" s="200">
        <v>72</v>
      </c>
      <c r="C117" s="200"/>
      <c r="D117" s="200" t="s">
        <v>14</v>
      </c>
      <c r="E117" s="200" t="s">
        <v>44</v>
      </c>
      <c r="F117" s="202">
        <v>168950</v>
      </c>
      <c r="G117" s="202">
        <v>4872</v>
      </c>
      <c r="H117" s="379">
        <v>13295</v>
      </c>
      <c r="I117" s="379">
        <v>1356.69</v>
      </c>
      <c r="J117" s="201">
        <f t="shared" si="12"/>
        <v>164078</v>
      </c>
      <c r="K117" s="202">
        <f t="shared" si="13"/>
        <v>12.341331327566754</v>
      </c>
      <c r="L117" s="315">
        <f t="shared" si="14"/>
        <v>2.8836934004143236E-2</v>
      </c>
      <c r="M117" s="369">
        <f t="shared" si="15"/>
        <v>9.7995857565103304</v>
      </c>
      <c r="N117" s="263"/>
    </row>
    <row r="118" spans="1:14" x14ac:dyDescent="0.25">
      <c r="A118" s="217" t="s">
        <v>77</v>
      </c>
      <c r="B118" s="200">
        <v>72</v>
      </c>
      <c r="C118" s="200"/>
      <c r="D118" s="200" t="s">
        <v>14</v>
      </c>
      <c r="E118" s="200" t="s">
        <v>23</v>
      </c>
      <c r="F118" s="202">
        <v>877595</v>
      </c>
      <c r="G118" s="202">
        <v>47546</v>
      </c>
      <c r="H118" s="379">
        <v>85633</v>
      </c>
      <c r="I118" s="379">
        <v>7490.78</v>
      </c>
      <c r="J118" s="201">
        <f t="shared" si="12"/>
        <v>830049</v>
      </c>
      <c r="K118" s="202">
        <f t="shared" si="13"/>
        <v>9.6930972872607519</v>
      </c>
      <c r="L118" s="315">
        <f t="shared" si="14"/>
        <v>5.4177610401153153E-2</v>
      </c>
      <c r="M118" s="369">
        <f t="shared" si="15"/>
        <v>11.431786809918327</v>
      </c>
      <c r="N118" s="263"/>
    </row>
    <row r="119" spans="1:14" x14ac:dyDescent="0.25">
      <c r="A119" s="217" t="s">
        <v>77</v>
      </c>
      <c r="B119" s="200">
        <v>74</v>
      </c>
      <c r="C119" s="200"/>
      <c r="D119" s="200" t="s">
        <v>14</v>
      </c>
      <c r="E119" s="200" t="s">
        <v>43</v>
      </c>
      <c r="F119" s="202">
        <v>1204521.9180000001</v>
      </c>
      <c r="G119" s="202">
        <v>69890.007540000006</v>
      </c>
      <c r="H119" s="379">
        <v>79735</v>
      </c>
      <c r="I119" s="379">
        <v>3489.96</v>
      </c>
      <c r="J119" s="201">
        <f t="shared" si="12"/>
        <v>1134631.9104600002</v>
      </c>
      <c r="K119" s="202">
        <f t="shared" si="13"/>
        <v>14.230035874584564</v>
      </c>
      <c r="L119" s="315">
        <f t="shared" si="14"/>
        <v>5.8023026808882029E-2</v>
      </c>
      <c r="M119" s="369">
        <f t="shared" si="15"/>
        <v>22.846966727412347</v>
      </c>
      <c r="N119" s="263"/>
    </row>
    <row r="120" spans="1:14" x14ac:dyDescent="0.25">
      <c r="A120" s="217" t="s">
        <v>77</v>
      </c>
      <c r="B120" s="200">
        <v>74</v>
      </c>
      <c r="C120" s="200"/>
      <c r="D120" s="200" t="s">
        <v>14</v>
      </c>
      <c r="E120" s="200" t="s">
        <v>44</v>
      </c>
      <c r="F120" s="202">
        <v>1342695.8540000001</v>
      </c>
      <c r="G120" s="202">
        <v>68320.53224</v>
      </c>
      <c r="H120" s="379">
        <v>77530</v>
      </c>
      <c r="I120" s="379">
        <v>3882</v>
      </c>
      <c r="J120" s="201">
        <f t="shared" si="12"/>
        <v>1274375.32176</v>
      </c>
      <c r="K120" s="202">
        <f t="shared" si="13"/>
        <v>16.437189755707468</v>
      </c>
      <c r="L120" s="315">
        <f t="shared" si="14"/>
        <v>5.0883103598233052E-2</v>
      </c>
      <c r="M120" s="369">
        <f t="shared" si="15"/>
        <v>19.97166409067491</v>
      </c>
      <c r="N120" s="263"/>
    </row>
    <row r="121" spans="1:14" x14ac:dyDescent="0.25">
      <c r="A121" s="217" t="s">
        <v>77</v>
      </c>
      <c r="B121" s="200">
        <v>74</v>
      </c>
      <c r="C121" s="200"/>
      <c r="D121" s="200" t="s">
        <v>14</v>
      </c>
      <c r="E121" s="200" t="s">
        <v>23</v>
      </c>
      <c r="F121" s="202">
        <v>9276677.7349999994</v>
      </c>
      <c r="G121" s="202">
        <v>641290.99990000005</v>
      </c>
      <c r="H121" s="379">
        <v>642050</v>
      </c>
      <c r="I121" s="379">
        <v>28109.559999999899</v>
      </c>
      <c r="J121" s="201">
        <f t="shared" si="12"/>
        <v>8635386.7350999992</v>
      </c>
      <c r="K121" s="202">
        <f t="shared" si="13"/>
        <v>13.449710669106766</v>
      </c>
      <c r="L121" s="315">
        <f t="shared" si="14"/>
        <v>6.9129382114943128E-2</v>
      </c>
      <c r="M121" s="369">
        <f t="shared" si="15"/>
        <v>22.84098363688376</v>
      </c>
      <c r="N121" s="263"/>
    </row>
    <row r="122" spans="1:14" x14ac:dyDescent="0.25">
      <c r="A122" s="217" t="s">
        <v>77</v>
      </c>
      <c r="B122" s="200">
        <v>75</v>
      </c>
      <c r="C122" s="200"/>
      <c r="D122" s="200" t="s">
        <v>14</v>
      </c>
      <c r="E122" s="200" t="s">
        <v>23</v>
      </c>
      <c r="F122" s="202">
        <v>649336</v>
      </c>
      <c r="G122" s="202">
        <v>72291</v>
      </c>
      <c r="H122" s="379">
        <v>98849</v>
      </c>
      <c r="I122" s="379">
        <v>5864.89</v>
      </c>
      <c r="J122" s="201">
        <f t="shared" si="12"/>
        <v>577045</v>
      </c>
      <c r="K122" s="202">
        <f t="shared" si="13"/>
        <v>5.8376412507966693</v>
      </c>
      <c r="L122" s="315">
        <f t="shared" si="14"/>
        <v>0.11133065161950054</v>
      </c>
      <c r="M122" s="369">
        <f t="shared" si="15"/>
        <v>16.854365555023197</v>
      </c>
      <c r="N122" s="263"/>
    </row>
    <row r="123" spans="1:14" x14ac:dyDescent="0.25">
      <c r="A123" s="217" t="s">
        <v>77</v>
      </c>
      <c r="B123" s="200">
        <v>5</v>
      </c>
      <c r="C123" s="200"/>
      <c r="D123" s="200" t="s">
        <v>15</v>
      </c>
      <c r="E123" s="200" t="s">
        <v>23</v>
      </c>
      <c r="F123" s="202">
        <v>3877293.77</v>
      </c>
      <c r="G123" s="202">
        <v>174954.9258</v>
      </c>
      <c r="H123" s="379">
        <v>232641</v>
      </c>
      <c r="I123" s="379">
        <v>10487.39</v>
      </c>
      <c r="J123" s="201">
        <f t="shared" si="12"/>
        <v>3702338.8442000002</v>
      </c>
      <c r="K123" s="202">
        <f t="shared" si="13"/>
        <v>15.914386734066653</v>
      </c>
      <c r="L123" s="315">
        <f t="shared" si="14"/>
        <v>4.5122948163920013E-2</v>
      </c>
      <c r="M123" s="369">
        <f t="shared" si="15"/>
        <v>22.182926352505248</v>
      </c>
      <c r="N123" s="263"/>
    </row>
    <row r="124" spans="1:14" x14ac:dyDescent="0.25">
      <c r="A124" s="217" t="s">
        <v>77</v>
      </c>
      <c r="B124" s="200">
        <v>5</v>
      </c>
      <c r="C124" s="200"/>
      <c r="D124" s="200" t="s">
        <v>15</v>
      </c>
      <c r="E124" s="200" t="s">
        <v>43</v>
      </c>
      <c r="F124" s="202">
        <v>749240.38879999996</v>
      </c>
      <c r="G124" s="202">
        <v>20803.60716</v>
      </c>
      <c r="H124" s="379">
        <v>29233</v>
      </c>
      <c r="I124" s="379">
        <v>2019.99</v>
      </c>
      <c r="J124" s="201">
        <f t="shared" si="12"/>
        <v>728436.78163999994</v>
      </c>
      <c r="K124" s="202">
        <f t="shared" si="13"/>
        <v>24.918304027639994</v>
      </c>
      <c r="L124" s="315">
        <f t="shared" si="14"/>
        <v>2.7766264967802282E-2</v>
      </c>
      <c r="M124" s="369">
        <f t="shared" si="15"/>
        <v>14.47185382105852</v>
      </c>
      <c r="N124" s="263"/>
    </row>
    <row r="125" spans="1:14" x14ac:dyDescent="0.25">
      <c r="A125" s="217" t="s">
        <v>77</v>
      </c>
      <c r="B125" s="200">
        <v>5</v>
      </c>
      <c r="C125" s="200"/>
      <c r="D125" s="200" t="s">
        <v>15</v>
      </c>
      <c r="E125" s="200" t="s">
        <v>44</v>
      </c>
      <c r="F125" s="202">
        <v>828938.58570000005</v>
      </c>
      <c r="G125" s="202">
        <v>20581.335520000001</v>
      </c>
      <c r="H125" s="379">
        <v>30284</v>
      </c>
      <c r="I125" s="379">
        <v>2194.14</v>
      </c>
      <c r="J125" s="201">
        <f t="shared" si="12"/>
        <v>808357.25018000009</v>
      </c>
      <c r="K125" s="202">
        <f t="shared" si="13"/>
        <v>26.692552178708233</v>
      </c>
      <c r="L125" s="315">
        <f t="shared" si="14"/>
        <v>2.4828540829258203E-2</v>
      </c>
      <c r="M125" s="369">
        <f t="shared" si="15"/>
        <v>13.802218636914692</v>
      </c>
      <c r="N125" s="263"/>
    </row>
    <row r="126" spans="1:14" x14ac:dyDescent="0.25">
      <c r="A126" s="217" t="s">
        <v>77</v>
      </c>
      <c r="B126" s="200">
        <v>23</v>
      </c>
      <c r="C126" s="200"/>
      <c r="D126" s="200" t="s">
        <v>15</v>
      </c>
      <c r="E126" s="200" t="s">
        <v>23</v>
      </c>
      <c r="F126" s="202">
        <v>1761915.196</v>
      </c>
      <c r="G126" s="202">
        <v>86748.717329999999</v>
      </c>
      <c r="H126" s="379">
        <v>73380</v>
      </c>
      <c r="I126" s="379">
        <v>4843</v>
      </c>
      <c r="J126" s="201">
        <f t="shared" si="12"/>
        <v>1675166.4786700001</v>
      </c>
      <c r="K126" s="202">
        <f t="shared" si="13"/>
        <v>22.828651930635051</v>
      </c>
      <c r="L126" s="315">
        <f t="shared" si="14"/>
        <v>4.9235466909498177E-2</v>
      </c>
      <c r="M126" s="369">
        <f t="shared" si="15"/>
        <v>15.151765434647945</v>
      </c>
      <c r="N126" s="263"/>
    </row>
    <row r="127" spans="1:14" x14ac:dyDescent="0.25">
      <c r="A127" s="217" t="s">
        <v>77</v>
      </c>
      <c r="B127" s="200">
        <v>23</v>
      </c>
      <c r="C127" s="200"/>
      <c r="D127" s="200" t="s">
        <v>15</v>
      </c>
      <c r="E127" s="200" t="s">
        <v>43</v>
      </c>
      <c r="F127" s="202">
        <v>274867.95559999999</v>
      </c>
      <c r="G127" s="202">
        <v>9944.5348300000005</v>
      </c>
      <c r="H127" s="379">
        <v>9195</v>
      </c>
      <c r="I127" s="379">
        <v>727.95</v>
      </c>
      <c r="J127" s="201">
        <f t="shared" si="12"/>
        <v>264923.42076999997</v>
      </c>
      <c r="K127" s="202">
        <f t="shared" si="13"/>
        <v>28.811682519847739</v>
      </c>
      <c r="L127" s="315">
        <f t="shared" si="14"/>
        <v>3.6179316749718644E-2</v>
      </c>
      <c r="M127" s="369">
        <f t="shared" si="15"/>
        <v>12.631362044096434</v>
      </c>
      <c r="N127" s="263"/>
    </row>
    <row r="128" spans="1:14" x14ac:dyDescent="0.25">
      <c r="A128" s="217" t="s">
        <v>77</v>
      </c>
      <c r="B128" s="200">
        <v>23</v>
      </c>
      <c r="C128" s="200"/>
      <c r="D128" s="200" t="s">
        <v>15</v>
      </c>
      <c r="E128" s="200" t="s">
        <v>44</v>
      </c>
      <c r="F128" s="202">
        <v>220290.12239999999</v>
      </c>
      <c r="G128" s="202">
        <v>6569.7387580000004</v>
      </c>
      <c r="H128" s="379">
        <v>6268</v>
      </c>
      <c r="I128" s="379">
        <v>512.75</v>
      </c>
      <c r="J128" s="201">
        <f t="shared" si="12"/>
        <v>213720.383642</v>
      </c>
      <c r="K128" s="202">
        <f t="shared" si="13"/>
        <v>34.097061844607531</v>
      </c>
      <c r="L128" s="315">
        <f t="shared" si="14"/>
        <v>2.9823120012937996E-2</v>
      </c>
      <c r="M128" s="369">
        <f t="shared" si="15"/>
        <v>12.224280838615309</v>
      </c>
      <c r="N128" s="263"/>
    </row>
    <row r="129" spans="1:14" x14ac:dyDescent="0.25">
      <c r="A129" s="217" t="s">
        <v>77</v>
      </c>
      <c r="B129" s="200">
        <v>30</v>
      </c>
      <c r="C129" s="200"/>
      <c r="D129" s="200" t="s">
        <v>15</v>
      </c>
      <c r="E129" s="200" t="s">
        <v>23</v>
      </c>
      <c r="F129" s="202">
        <v>1457026</v>
      </c>
      <c r="G129" s="202">
        <v>90261</v>
      </c>
      <c r="H129" s="379">
        <v>134646</v>
      </c>
      <c r="I129" s="379">
        <v>9852.4399999999987</v>
      </c>
      <c r="J129" s="201">
        <f t="shared" si="12"/>
        <v>1366765</v>
      </c>
      <c r="K129" s="202">
        <f t="shared" si="13"/>
        <v>10.150802845981314</v>
      </c>
      <c r="L129" s="315">
        <f t="shared" si="14"/>
        <v>6.1948791579560007E-2</v>
      </c>
      <c r="M129" s="369">
        <f t="shared" si="15"/>
        <v>13.666259322563752</v>
      </c>
      <c r="N129" s="263"/>
    </row>
    <row r="130" spans="1:14" x14ac:dyDescent="0.25">
      <c r="A130" s="217" t="s">
        <v>77</v>
      </c>
      <c r="B130" s="200">
        <v>30</v>
      </c>
      <c r="C130" s="200"/>
      <c r="D130" s="200" t="s">
        <v>15</v>
      </c>
      <c r="E130" s="200" t="s">
        <v>43</v>
      </c>
      <c r="F130" s="202">
        <v>222164</v>
      </c>
      <c r="G130" s="202">
        <v>9923</v>
      </c>
      <c r="H130" s="379">
        <v>16505</v>
      </c>
      <c r="I130" s="379">
        <v>1622.94</v>
      </c>
      <c r="J130" s="201">
        <f t="shared" si="12"/>
        <v>212241</v>
      </c>
      <c r="K130" s="202">
        <f t="shared" si="13"/>
        <v>12.859194183580733</v>
      </c>
      <c r="L130" s="315">
        <f t="shared" si="14"/>
        <v>4.4665202282998147E-2</v>
      </c>
      <c r="M130" s="369">
        <f t="shared" si="15"/>
        <v>10.169815273515965</v>
      </c>
      <c r="N130" s="263"/>
    </row>
    <row r="131" spans="1:14" x14ac:dyDescent="0.25">
      <c r="A131" s="217" t="s">
        <v>77</v>
      </c>
      <c r="B131" s="200">
        <v>30</v>
      </c>
      <c r="C131" s="200"/>
      <c r="D131" s="200" t="s">
        <v>15</v>
      </c>
      <c r="E131" s="200" t="s">
        <v>44</v>
      </c>
      <c r="F131" s="202">
        <v>238785</v>
      </c>
      <c r="G131" s="202">
        <v>7482</v>
      </c>
      <c r="H131" s="379">
        <v>15829</v>
      </c>
      <c r="I131" s="379">
        <v>1744.05</v>
      </c>
      <c r="J131" s="201">
        <f t="shared" si="12"/>
        <v>231303</v>
      </c>
      <c r="K131" s="202">
        <f t="shared" si="13"/>
        <v>14.612609766883567</v>
      </c>
      <c r="L131" s="315">
        <f t="shared" si="14"/>
        <v>3.133362648407563E-2</v>
      </c>
      <c r="M131" s="369">
        <f t="shared" si="15"/>
        <v>9.0760012614317258</v>
      </c>
      <c r="N131" s="263"/>
    </row>
    <row r="132" spans="1:14" x14ac:dyDescent="0.25">
      <c r="A132" s="217" t="s">
        <v>77</v>
      </c>
      <c r="B132" s="200">
        <v>32</v>
      </c>
      <c r="C132" s="200"/>
      <c r="D132" s="200" t="s">
        <v>15</v>
      </c>
      <c r="E132" s="200" t="s">
        <v>23</v>
      </c>
      <c r="F132" s="202">
        <v>4561043.1459999997</v>
      </c>
      <c r="G132" s="202">
        <v>248223.12280000001</v>
      </c>
      <c r="H132" s="379">
        <v>337690</v>
      </c>
      <c r="I132" s="379">
        <v>12031.92</v>
      </c>
      <c r="J132" s="201">
        <f t="shared" si="12"/>
        <v>4312820.0231999997</v>
      </c>
      <c r="K132" s="202">
        <f t="shared" si="13"/>
        <v>12.771536092866237</v>
      </c>
      <c r="L132" s="315">
        <f t="shared" si="14"/>
        <v>5.4422445667432422E-2</v>
      </c>
      <c r="M132" s="369">
        <f t="shared" si="15"/>
        <v>28.066177301710784</v>
      </c>
      <c r="N132" s="263"/>
    </row>
    <row r="133" spans="1:14" x14ac:dyDescent="0.25">
      <c r="A133" s="217" t="s">
        <v>77</v>
      </c>
      <c r="B133" s="200">
        <v>32</v>
      </c>
      <c r="C133" s="200"/>
      <c r="D133" s="200" t="s">
        <v>15</v>
      </c>
      <c r="E133" s="200" t="s">
        <v>43</v>
      </c>
      <c r="F133" s="202">
        <v>750932.74320000003</v>
      </c>
      <c r="G133" s="202">
        <v>37345.028429999998</v>
      </c>
      <c r="H133" s="379">
        <v>54416</v>
      </c>
      <c r="I133" s="379">
        <v>2192.94</v>
      </c>
      <c r="J133" s="201">
        <f t="shared" si="12"/>
        <v>713587.71477000008</v>
      </c>
      <c r="K133" s="202">
        <f t="shared" si="13"/>
        <v>13.113564296714204</v>
      </c>
      <c r="L133" s="315">
        <f t="shared" si="14"/>
        <v>4.9731522254388753E-2</v>
      </c>
      <c r="M133" s="369">
        <f t="shared" si="15"/>
        <v>24.81417640245515</v>
      </c>
      <c r="N133" s="263"/>
    </row>
    <row r="134" spans="1:14" x14ac:dyDescent="0.25">
      <c r="A134" s="217" t="s">
        <v>77</v>
      </c>
      <c r="B134" s="200">
        <v>32</v>
      </c>
      <c r="C134" s="200"/>
      <c r="D134" s="200" t="s">
        <v>15</v>
      </c>
      <c r="E134" s="200" t="s">
        <v>44</v>
      </c>
      <c r="F134" s="202">
        <v>777322.96950000001</v>
      </c>
      <c r="G134" s="202">
        <v>31397.989600000001</v>
      </c>
      <c r="H134" s="379">
        <v>45689</v>
      </c>
      <c r="I134" s="379">
        <v>2208.77</v>
      </c>
      <c r="J134" s="201">
        <f t="shared" si="12"/>
        <v>745924.97990000003</v>
      </c>
      <c r="K134" s="202">
        <f t="shared" si="13"/>
        <v>16.326139331130033</v>
      </c>
      <c r="L134" s="315">
        <f t="shared" si="14"/>
        <v>4.0392463405778727E-2</v>
      </c>
      <c r="M134" s="369">
        <f t="shared" si="15"/>
        <v>20.685268271481412</v>
      </c>
      <c r="N134" s="263"/>
    </row>
    <row r="135" spans="1:14" x14ac:dyDescent="0.25">
      <c r="A135" s="217" t="s">
        <v>77</v>
      </c>
      <c r="B135" s="200">
        <v>33</v>
      </c>
      <c r="C135" s="200"/>
      <c r="D135" s="200" t="s">
        <v>15</v>
      </c>
      <c r="E135" s="200" t="s">
        <v>23</v>
      </c>
      <c r="F135" s="202">
        <v>126051</v>
      </c>
      <c r="G135" s="202">
        <v>9489</v>
      </c>
      <c r="H135" s="379">
        <v>10050</v>
      </c>
      <c r="I135" s="379">
        <v>908.8</v>
      </c>
      <c r="J135" s="201">
        <f t="shared" ref="J135:J198" si="16">+F135-G135</f>
        <v>116562</v>
      </c>
      <c r="K135" s="202">
        <f t="shared" ref="K135:K198" si="17">J135/H135</f>
        <v>11.59820895522388</v>
      </c>
      <c r="L135" s="315">
        <f t="shared" ref="L135:L198" si="18">G135/F135</f>
        <v>7.5279053716352906E-2</v>
      </c>
      <c r="M135" s="369">
        <f t="shared" ref="M135:M198" si="19">H135/I135</f>
        <v>11.058538732394366</v>
      </c>
      <c r="N135" s="263"/>
    </row>
    <row r="136" spans="1:14" x14ac:dyDescent="0.25">
      <c r="A136" s="217" t="s">
        <v>77</v>
      </c>
      <c r="B136" s="200">
        <v>33</v>
      </c>
      <c r="C136" s="200"/>
      <c r="D136" s="200" t="s">
        <v>15</v>
      </c>
      <c r="E136" s="200" t="s">
        <v>43</v>
      </c>
      <c r="F136" s="202">
        <v>13695</v>
      </c>
      <c r="G136" s="202">
        <v>375</v>
      </c>
      <c r="H136" s="379">
        <v>640</v>
      </c>
      <c r="I136" s="379">
        <v>92.8</v>
      </c>
      <c r="J136" s="201">
        <f t="shared" si="16"/>
        <v>13320</v>
      </c>
      <c r="K136" s="202">
        <f t="shared" si="17"/>
        <v>20.8125</v>
      </c>
      <c r="L136" s="315">
        <f t="shared" si="18"/>
        <v>2.7382256297918947E-2</v>
      </c>
      <c r="M136" s="369">
        <f t="shared" si="19"/>
        <v>6.8965517241379315</v>
      </c>
      <c r="N136" s="263"/>
    </row>
    <row r="137" spans="1:14" x14ac:dyDescent="0.25">
      <c r="A137" s="217" t="s">
        <v>77</v>
      </c>
      <c r="B137" s="200">
        <v>38</v>
      </c>
      <c r="C137" s="200"/>
      <c r="D137" s="200" t="s">
        <v>15</v>
      </c>
      <c r="E137" s="200" t="s">
        <v>23</v>
      </c>
      <c r="F137" s="202">
        <v>4831211.1780000003</v>
      </c>
      <c r="G137" s="202">
        <v>54634.707649999997</v>
      </c>
      <c r="H137" s="379">
        <v>224066</v>
      </c>
      <c r="I137" s="379">
        <v>14023.78</v>
      </c>
      <c r="J137" s="201">
        <f t="shared" si="16"/>
        <v>4776576.4703500001</v>
      </c>
      <c r="K137" s="202">
        <f t="shared" si="17"/>
        <v>21.317720985557827</v>
      </c>
      <c r="L137" s="315">
        <f t="shared" si="18"/>
        <v>1.1308697889007905E-2</v>
      </c>
      <c r="M137" s="369">
        <f t="shared" si="19"/>
        <v>15.977575232925787</v>
      </c>
      <c r="N137" s="263"/>
    </row>
    <row r="138" spans="1:14" x14ac:dyDescent="0.25">
      <c r="A138" s="217" t="s">
        <v>77</v>
      </c>
      <c r="B138" s="200">
        <v>38</v>
      </c>
      <c r="C138" s="200"/>
      <c r="D138" s="200" t="s">
        <v>15</v>
      </c>
      <c r="E138" s="200" t="s">
        <v>43</v>
      </c>
      <c r="F138" s="202">
        <v>858396.05519999994</v>
      </c>
      <c r="G138" s="202">
        <v>6812.3711549999998</v>
      </c>
      <c r="H138" s="379">
        <v>31478</v>
      </c>
      <c r="I138" s="379">
        <v>2708.31</v>
      </c>
      <c r="J138" s="201">
        <f t="shared" si="16"/>
        <v>851583.684045</v>
      </c>
      <c r="K138" s="202">
        <f t="shared" si="17"/>
        <v>27.053297034277907</v>
      </c>
      <c r="L138" s="315">
        <f t="shared" si="18"/>
        <v>7.936163165862601E-3</v>
      </c>
      <c r="M138" s="369">
        <f t="shared" si="19"/>
        <v>11.622746288275714</v>
      </c>
      <c r="N138" s="263"/>
    </row>
    <row r="139" spans="1:14" x14ac:dyDescent="0.25">
      <c r="A139" s="217" t="s">
        <v>77</v>
      </c>
      <c r="B139" s="200">
        <v>38</v>
      </c>
      <c r="C139" s="200"/>
      <c r="D139" s="200" t="s">
        <v>15</v>
      </c>
      <c r="E139" s="200" t="s">
        <v>44</v>
      </c>
      <c r="F139" s="202">
        <v>986258.3247</v>
      </c>
      <c r="G139" s="202">
        <v>6907.3880380000001</v>
      </c>
      <c r="H139" s="379">
        <v>30796</v>
      </c>
      <c r="I139" s="379">
        <v>3081.87</v>
      </c>
      <c r="J139" s="201">
        <f t="shared" si="16"/>
        <v>979350.93666200002</v>
      </c>
      <c r="K139" s="202">
        <f t="shared" si="17"/>
        <v>31.8012383641382</v>
      </c>
      <c r="L139" s="315">
        <f t="shared" si="18"/>
        <v>7.0036296424682539E-3</v>
      </c>
      <c r="M139" s="369">
        <f t="shared" si="19"/>
        <v>9.9926343421364301</v>
      </c>
      <c r="N139" s="263"/>
    </row>
    <row r="140" spans="1:14" x14ac:dyDescent="0.25">
      <c r="A140" s="217" t="s">
        <v>77</v>
      </c>
      <c r="B140" s="200">
        <v>46</v>
      </c>
      <c r="C140" s="200"/>
      <c r="D140" s="200" t="s">
        <v>15</v>
      </c>
      <c r="E140" s="200" t="s">
        <v>23</v>
      </c>
      <c r="F140" s="202">
        <v>3266582.9730000002</v>
      </c>
      <c r="G140" s="202">
        <v>121017.5742</v>
      </c>
      <c r="H140" s="379">
        <v>118955</v>
      </c>
      <c r="I140" s="379">
        <v>8901.9799999999905</v>
      </c>
      <c r="J140" s="201">
        <f t="shared" si="16"/>
        <v>3145565.3988000001</v>
      </c>
      <c r="K140" s="202">
        <f t="shared" si="17"/>
        <v>26.443322254634108</v>
      </c>
      <c r="L140" s="315">
        <f t="shared" si="18"/>
        <v>3.7047145350438952E-2</v>
      </c>
      <c r="M140" s="369">
        <f t="shared" si="19"/>
        <v>13.362757498893519</v>
      </c>
      <c r="N140" s="263"/>
    </row>
    <row r="141" spans="1:14" x14ac:dyDescent="0.25">
      <c r="A141" s="217" t="s">
        <v>77</v>
      </c>
      <c r="B141" s="200">
        <v>46</v>
      </c>
      <c r="C141" s="200"/>
      <c r="D141" s="200" t="s">
        <v>15</v>
      </c>
      <c r="E141" s="200" t="s">
        <v>43</v>
      </c>
      <c r="F141" s="202">
        <v>404740.04519999999</v>
      </c>
      <c r="G141" s="202">
        <v>8760.2172539999992</v>
      </c>
      <c r="H141" s="379">
        <v>8593</v>
      </c>
      <c r="I141" s="379">
        <v>1048.98</v>
      </c>
      <c r="J141" s="201">
        <f t="shared" si="16"/>
        <v>395979.82794599998</v>
      </c>
      <c r="K141" s="202">
        <f t="shared" si="17"/>
        <v>46.08167437984406</v>
      </c>
      <c r="L141" s="315">
        <f t="shared" si="18"/>
        <v>2.1644058594872142E-2</v>
      </c>
      <c r="M141" s="369">
        <f t="shared" si="19"/>
        <v>8.1917672405574944</v>
      </c>
      <c r="N141" s="263"/>
    </row>
    <row r="142" spans="1:14" x14ac:dyDescent="0.25">
      <c r="A142" s="217" t="s">
        <v>77</v>
      </c>
      <c r="B142" s="200">
        <v>46</v>
      </c>
      <c r="C142" s="200"/>
      <c r="D142" s="200" t="s">
        <v>15</v>
      </c>
      <c r="E142" s="200" t="s">
        <v>44</v>
      </c>
      <c r="F142" s="202">
        <v>452030.49050000001</v>
      </c>
      <c r="G142" s="202">
        <v>7246.7340489999997</v>
      </c>
      <c r="H142" s="379">
        <v>7781</v>
      </c>
      <c r="I142" s="379">
        <v>1170.28</v>
      </c>
      <c r="J142" s="201">
        <f t="shared" si="16"/>
        <v>444783.75645099999</v>
      </c>
      <c r="K142" s="202">
        <f t="shared" si="17"/>
        <v>57.162801240329003</v>
      </c>
      <c r="L142" s="315">
        <f t="shared" si="18"/>
        <v>1.6031516017833754E-2</v>
      </c>
      <c r="M142" s="369">
        <f t="shared" si="19"/>
        <v>6.6488361759578902</v>
      </c>
      <c r="N142" s="263"/>
    </row>
    <row r="143" spans="1:14" x14ac:dyDescent="0.25">
      <c r="A143" s="217" t="s">
        <v>77</v>
      </c>
      <c r="B143" s="200">
        <v>65</v>
      </c>
      <c r="C143" s="200"/>
      <c r="D143" s="200" t="s">
        <v>15</v>
      </c>
      <c r="E143" s="200" t="s">
        <v>23</v>
      </c>
      <c r="F143" s="202">
        <v>868250</v>
      </c>
      <c r="G143" s="202">
        <v>95670</v>
      </c>
      <c r="H143" s="379">
        <v>108107</v>
      </c>
      <c r="I143" s="379">
        <v>7501.06</v>
      </c>
      <c r="J143" s="201">
        <f t="shared" si="16"/>
        <v>772580</v>
      </c>
      <c r="K143" s="202">
        <f t="shared" si="17"/>
        <v>7.1464382509920723</v>
      </c>
      <c r="L143" s="315">
        <f t="shared" si="18"/>
        <v>0.11018715807659084</v>
      </c>
      <c r="M143" s="369">
        <f t="shared" si="19"/>
        <v>14.412229738197</v>
      </c>
      <c r="N143" s="263"/>
    </row>
    <row r="144" spans="1:14" x14ac:dyDescent="0.25">
      <c r="A144" s="217" t="s">
        <v>77</v>
      </c>
      <c r="B144" s="200">
        <v>65</v>
      </c>
      <c r="C144" s="200"/>
      <c r="D144" s="200" t="s">
        <v>15</v>
      </c>
      <c r="E144" s="200" t="s">
        <v>43</v>
      </c>
      <c r="F144" s="202">
        <v>176641</v>
      </c>
      <c r="G144" s="202">
        <v>10073</v>
      </c>
      <c r="H144" s="379">
        <v>18873</v>
      </c>
      <c r="I144" s="379">
        <v>1583.4199999999998</v>
      </c>
      <c r="J144" s="201">
        <f t="shared" si="16"/>
        <v>166568</v>
      </c>
      <c r="K144" s="202">
        <f t="shared" si="17"/>
        <v>8.8257298786626404</v>
      </c>
      <c r="L144" s="315">
        <f t="shared" si="18"/>
        <v>5.7025265934862235E-2</v>
      </c>
      <c r="M144" s="369">
        <f t="shared" si="19"/>
        <v>11.91913705776105</v>
      </c>
      <c r="N144" s="263"/>
    </row>
    <row r="145" spans="1:14" x14ac:dyDescent="0.25">
      <c r="A145" s="217" t="s">
        <v>77</v>
      </c>
      <c r="B145" s="200">
        <v>65</v>
      </c>
      <c r="C145" s="200"/>
      <c r="D145" s="200" t="s">
        <v>15</v>
      </c>
      <c r="E145" s="200" t="s">
        <v>44</v>
      </c>
      <c r="F145" s="202">
        <v>107524</v>
      </c>
      <c r="G145" s="202">
        <v>6005</v>
      </c>
      <c r="H145" s="379">
        <v>12064</v>
      </c>
      <c r="I145" s="379">
        <v>960</v>
      </c>
      <c r="J145" s="201">
        <f t="shared" si="16"/>
        <v>101519</v>
      </c>
      <c r="K145" s="202">
        <f t="shared" si="17"/>
        <v>8.4150364721485413</v>
      </c>
      <c r="L145" s="315">
        <f t="shared" si="18"/>
        <v>5.5847996726312264E-2</v>
      </c>
      <c r="M145" s="369">
        <f t="shared" si="19"/>
        <v>12.566666666666666</v>
      </c>
      <c r="N145" s="263"/>
    </row>
    <row r="146" spans="1:14" x14ac:dyDescent="0.25">
      <c r="A146" s="217" t="s">
        <v>77</v>
      </c>
      <c r="B146" s="200">
        <v>80</v>
      </c>
      <c r="C146" s="200"/>
      <c r="D146" s="200" t="s">
        <v>15</v>
      </c>
      <c r="E146" s="200" t="s">
        <v>23</v>
      </c>
      <c r="F146" s="202">
        <v>597725</v>
      </c>
      <c r="G146" s="202">
        <v>52714</v>
      </c>
      <c r="H146" s="379">
        <v>92868</v>
      </c>
      <c r="I146" s="379">
        <v>5044.7999999999993</v>
      </c>
      <c r="J146" s="201">
        <f t="shared" si="16"/>
        <v>545011</v>
      </c>
      <c r="K146" s="202">
        <f t="shared" si="17"/>
        <v>5.8686630486281608</v>
      </c>
      <c r="L146" s="315">
        <f t="shared" si="18"/>
        <v>8.8191057760675901E-2</v>
      </c>
      <c r="M146" s="369">
        <f t="shared" si="19"/>
        <v>18.408658420551859</v>
      </c>
      <c r="N146" s="263"/>
    </row>
    <row r="147" spans="1:14" x14ac:dyDescent="0.25">
      <c r="A147" s="217" t="s">
        <v>77</v>
      </c>
      <c r="B147" s="200">
        <v>80</v>
      </c>
      <c r="C147" s="200"/>
      <c r="D147" s="200" t="s">
        <v>15</v>
      </c>
      <c r="E147" s="200" t="s">
        <v>43</v>
      </c>
      <c r="F147" s="202">
        <v>92189</v>
      </c>
      <c r="G147" s="202">
        <v>6718</v>
      </c>
      <c r="H147" s="379">
        <v>12968</v>
      </c>
      <c r="I147" s="379">
        <v>780.95600000000002</v>
      </c>
      <c r="J147" s="201">
        <f t="shared" si="16"/>
        <v>85471</v>
      </c>
      <c r="K147" s="202">
        <f t="shared" si="17"/>
        <v>6.590916101172116</v>
      </c>
      <c r="L147" s="315">
        <f t="shared" si="18"/>
        <v>7.2872034624521367E-2</v>
      </c>
      <c r="M147" s="369">
        <f t="shared" si="19"/>
        <v>16.605288902319721</v>
      </c>
      <c r="N147" s="263"/>
    </row>
    <row r="148" spans="1:14" x14ac:dyDescent="0.25">
      <c r="A148" s="217" t="s">
        <v>77</v>
      </c>
      <c r="B148" s="200">
        <v>80</v>
      </c>
      <c r="C148" s="200"/>
      <c r="D148" s="200" t="s">
        <v>15</v>
      </c>
      <c r="E148" s="200" t="s">
        <v>44</v>
      </c>
      <c r="F148" s="202">
        <v>73158</v>
      </c>
      <c r="G148" s="202">
        <v>5200</v>
      </c>
      <c r="H148" s="379">
        <v>10312</v>
      </c>
      <c r="I148" s="379">
        <v>619.26</v>
      </c>
      <c r="J148" s="201">
        <f t="shared" si="16"/>
        <v>67958</v>
      </c>
      <c r="K148" s="202">
        <f t="shared" si="17"/>
        <v>6.5901861908456167</v>
      </c>
      <c r="L148" s="315">
        <f t="shared" si="18"/>
        <v>7.1079034418655512E-2</v>
      </c>
      <c r="M148" s="369">
        <f t="shared" si="19"/>
        <v>16.652133191228241</v>
      </c>
      <c r="N148" s="263"/>
    </row>
    <row r="149" spans="1:14" x14ac:dyDescent="0.25">
      <c r="A149" s="217" t="s">
        <v>77</v>
      </c>
      <c r="B149" s="200">
        <v>83</v>
      </c>
      <c r="C149" s="200"/>
      <c r="D149" s="200" t="s">
        <v>15</v>
      </c>
      <c r="E149" s="200" t="s">
        <v>23</v>
      </c>
      <c r="F149" s="202">
        <v>988756</v>
      </c>
      <c r="G149" s="202">
        <v>82948</v>
      </c>
      <c r="H149" s="379">
        <v>100589</v>
      </c>
      <c r="I149" s="379">
        <v>7987.2</v>
      </c>
      <c r="J149" s="201">
        <f t="shared" si="16"/>
        <v>905808</v>
      </c>
      <c r="K149" s="202">
        <f t="shared" si="17"/>
        <v>9.0050403125590268</v>
      </c>
      <c r="L149" s="315">
        <f t="shared" si="18"/>
        <v>8.3891273478997858E-2</v>
      </c>
      <c r="M149" s="369">
        <f t="shared" si="19"/>
        <v>12.593775040064102</v>
      </c>
      <c r="N149" s="263"/>
    </row>
    <row r="150" spans="1:14" x14ac:dyDescent="0.25">
      <c r="A150" s="217" t="s">
        <v>77</v>
      </c>
      <c r="B150" s="200">
        <v>83</v>
      </c>
      <c r="C150" s="200"/>
      <c r="D150" s="200" t="s">
        <v>15</v>
      </c>
      <c r="E150" s="200" t="s">
        <v>43</v>
      </c>
      <c r="F150" s="202">
        <v>161188</v>
      </c>
      <c r="G150" s="202">
        <v>9729</v>
      </c>
      <c r="H150" s="379">
        <v>15336</v>
      </c>
      <c r="I150" s="379">
        <v>1355.4</v>
      </c>
      <c r="J150" s="201">
        <f t="shared" si="16"/>
        <v>151459</v>
      </c>
      <c r="K150" s="202">
        <f t="shared" si="17"/>
        <v>9.8760432968179455</v>
      </c>
      <c r="L150" s="315">
        <f t="shared" si="18"/>
        <v>6.0358091173040175E-2</v>
      </c>
      <c r="M150" s="369">
        <f t="shared" si="19"/>
        <v>11.314741035856573</v>
      </c>
      <c r="N150" s="263"/>
    </row>
    <row r="151" spans="1:14" x14ac:dyDescent="0.25">
      <c r="A151" s="217" t="s">
        <v>77</v>
      </c>
      <c r="B151" s="200">
        <v>83</v>
      </c>
      <c r="C151" s="200"/>
      <c r="D151" s="200" t="s">
        <v>15</v>
      </c>
      <c r="E151" s="200" t="s">
        <v>44</v>
      </c>
      <c r="F151" s="202">
        <v>173486</v>
      </c>
      <c r="G151" s="202">
        <v>7884</v>
      </c>
      <c r="H151" s="379">
        <v>14312</v>
      </c>
      <c r="I151" s="379">
        <v>1455.8000000000002</v>
      </c>
      <c r="J151" s="201">
        <f t="shared" si="16"/>
        <v>165602</v>
      </c>
      <c r="K151" s="202">
        <f t="shared" si="17"/>
        <v>11.57084963666853</v>
      </c>
      <c r="L151" s="315">
        <f t="shared" si="18"/>
        <v>4.5444589188752986E-2</v>
      </c>
      <c r="M151" s="369">
        <f t="shared" si="19"/>
        <v>9.8310207446077751</v>
      </c>
      <c r="N151" s="263"/>
    </row>
    <row r="152" spans="1:14" x14ac:dyDescent="0.25">
      <c r="A152" s="217" t="s">
        <v>77</v>
      </c>
      <c r="B152" s="200">
        <v>87</v>
      </c>
      <c r="C152" s="200"/>
      <c r="D152" s="200" t="s">
        <v>15</v>
      </c>
      <c r="E152" s="200" t="s">
        <v>23</v>
      </c>
      <c r="F152" s="202">
        <v>1299165</v>
      </c>
      <c r="G152" s="202">
        <v>194400</v>
      </c>
      <c r="H152" s="379">
        <v>204192</v>
      </c>
      <c r="I152" s="379">
        <v>11985.920000000002</v>
      </c>
      <c r="J152" s="201">
        <f t="shared" si="16"/>
        <v>1104765</v>
      </c>
      <c r="K152" s="202">
        <f t="shared" si="17"/>
        <v>5.4104225434884814</v>
      </c>
      <c r="L152" s="315">
        <f t="shared" si="18"/>
        <v>0.14963457297571903</v>
      </c>
      <c r="M152" s="369">
        <f t="shared" si="19"/>
        <v>17.035988893635196</v>
      </c>
      <c r="N152" s="263"/>
    </row>
    <row r="153" spans="1:14" x14ac:dyDescent="0.25">
      <c r="A153" s="217" t="s">
        <v>77</v>
      </c>
      <c r="B153" s="200">
        <v>87</v>
      </c>
      <c r="C153" s="200"/>
      <c r="D153" s="200" t="s">
        <v>15</v>
      </c>
      <c r="E153" s="200" t="s">
        <v>43</v>
      </c>
      <c r="F153" s="202">
        <v>277602</v>
      </c>
      <c r="G153" s="202">
        <v>20800</v>
      </c>
      <c r="H153" s="379">
        <v>29042</v>
      </c>
      <c r="I153" s="379">
        <v>2579.58</v>
      </c>
      <c r="J153" s="201">
        <f t="shared" si="16"/>
        <v>256802</v>
      </c>
      <c r="K153" s="202">
        <f t="shared" si="17"/>
        <v>8.8424350940017913</v>
      </c>
      <c r="L153" s="315">
        <f t="shared" si="18"/>
        <v>7.4927414067621989E-2</v>
      </c>
      <c r="M153" s="369">
        <f t="shared" si="19"/>
        <v>11.258421913644858</v>
      </c>
      <c r="N153" s="263"/>
    </row>
    <row r="154" spans="1:14" x14ac:dyDescent="0.25">
      <c r="A154" s="217" t="s">
        <v>77</v>
      </c>
      <c r="B154" s="200">
        <v>87</v>
      </c>
      <c r="C154" s="200"/>
      <c r="D154" s="200" t="s">
        <v>15</v>
      </c>
      <c r="E154" s="200" t="s">
        <v>44</v>
      </c>
      <c r="F154" s="202">
        <v>146155</v>
      </c>
      <c r="G154" s="202">
        <v>11030</v>
      </c>
      <c r="H154" s="379">
        <v>15151</v>
      </c>
      <c r="I154" s="379">
        <v>1333.96</v>
      </c>
      <c r="J154" s="201">
        <f t="shared" si="16"/>
        <v>135125</v>
      </c>
      <c r="K154" s="202">
        <f t="shared" si="17"/>
        <v>8.918553230809847</v>
      </c>
      <c r="L154" s="315">
        <f t="shared" si="18"/>
        <v>7.5467825254011148E-2</v>
      </c>
      <c r="M154" s="369">
        <f t="shared" si="19"/>
        <v>11.357911781462713</v>
      </c>
      <c r="N154" s="263"/>
    </row>
    <row r="155" spans="1:14" x14ac:dyDescent="0.25">
      <c r="A155" s="217" t="s">
        <v>77</v>
      </c>
      <c r="B155" s="200">
        <v>219</v>
      </c>
      <c r="C155" s="200"/>
      <c r="D155" s="200" t="s">
        <v>16</v>
      </c>
      <c r="E155" s="200" t="s">
        <v>23</v>
      </c>
      <c r="F155" s="202">
        <v>1395982</v>
      </c>
      <c r="G155" s="202">
        <v>78228</v>
      </c>
      <c r="H155" s="379">
        <v>102501</v>
      </c>
      <c r="I155" s="379">
        <v>13008.896000000001</v>
      </c>
      <c r="J155" s="201">
        <f t="shared" si="16"/>
        <v>1317754</v>
      </c>
      <c r="K155" s="202">
        <f t="shared" si="17"/>
        <v>12.856011160866723</v>
      </c>
      <c r="L155" s="315">
        <f t="shared" si="18"/>
        <v>5.6037971836313073E-2</v>
      </c>
      <c r="M155" s="369">
        <f t="shared" si="19"/>
        <v>7.8793004417899875</v>
      </c>
      <c r="N155" s="263"/>
    </row>
    <row r="156" spans="1:14" x14ac:dyDescent="0.25">
      <c r="A156" s="217" t="s">
        <v>77</v>
      </c>
      <c r="B156" s="200">
        <v>219</v>
      </c>
      <c r="C156" s="200"/>
      <c r="D156" s="200" t="s">
        <v>16</v>
      </c>
      <c r="E156" s="200" t="s">
        <v>43</v>
      </c>
      <c r="F156" s="202">
        <v>137417</v>
      </c>
      <c r="G156" s="202">
        <v>6487</v>
      </c>
      <c r="H156" s="379">
        <v>10835</v>
      </c>
      <c r="I156" s="379">
        <v>1257.2820000000002</v>
      </c>
      <c r="J156" s="201">
        <f t="shared" si="16"/>
        <v>130930</v>
      </c>
      <c r="K156" s="202">
        <f t="shared" si="17"/>
        <v>12.083987078910937</v>
      </c>
      <c r="L156" s="315">
        <f t="shared" si="18"/>
        <v>4.7206677485318413E-2</v>
      </c>
      <c r="M156" s="369">
        <f t="shared" si="19"/>
        <v>8.6177961666515532</v>
      </c>
      <c r="N156" s="263"/>
    </row>
    <row r="157" spans="1:14" x14ac:dyDescent="0.25">
      <c r="A157" s="217" t="s">
        <v>77</v>
      </c>
      <c r="B157" s="200">
        <v>223</v>
      </c>
      <c r="C157" s="200"/>
      <c r="D157" s="200" t="s">
        <v>16</v>
      </c>
      <c r="E157" s="200" t="s">
        <v>23</v>
      </c>
      <c r="F157" s="202">
        <v>661660</v>
      </c>
      <c r="G157" s="202">
        <v>17931</v>
      </c>
      <c r="H157" s="379">
        <v>28596</v>
      </c>
      <c r="I157" s="379">
        <v>5299.2</v>
      </c>
      <c r="J157" s="201">
        <f t="shared" si="16"/>
        <v>643729</v>
      </c>
      <c r="K157" s="202">
        <f t="shared" si="17"/>
        <v>22.511155406350539</v>
      </c>
      <c r="L157" s="315">
        <f t="shared" si="18"/>
        <v>2.7100021158903365E-2</v>
      </c>
      <c r="M157" s="369">
        <f t="shared" si="19"/>
        <v>5.3962862318840585</v>
      </c>
      <c r="N157" s="263"/>
    </row>
    <row r="158" spans="1:14" x14ac:dyDescent="0.25">
      <c r="A158" s="217" t="s">
        <v>77</v>
      </c>
      <c r="B158" s="200">
        <v>223</v>
      </c>
      <c r="C158" s="200"/>
      <c r="D158" s="200" t="s">
        <v>16</v>
      </c>
      <c r="E158" s="200" t="s">
        <v>43</v>
      </c>
      <c r="F158" s="202">
        <v>56760</v>
      </c>
      <c r="G158" s="202">
        <v>904</v>
      </c>
      <c r="H158" s="379">
        <v>1604</v>
      </c>
      <c r="I158" s="379">
        <v>431.20000000000005</v>
      </c>
      <c r="J158" s="201">
        <f t="shared" si="16"/>
        <v>55856</v>
      </c>
      <c r="K158" s="202">
        <f t="shared" si="17"/>
        <v>34.822942643391521</v>
      </c>
      <c r="L158" s="315">
        <f t="shared" si="18"/>
        <v>1.5926708949964764E-2</v>
      </c>
      <c r="M158" s="369">
        <f t="shared" si="19"/>
        <v>3.7198515769944338</v>
      </c>
      <c r="N158" s="263"/>
    </row>
    <row r="159" spans="1:14" x14ac:dyDescent="0.25">
      <c r="A159" s="217" t="s">
        <v>77</v>
      </c>
      <c r="B159" s="200">
        <v>225</v>
      </c>
      <c r="C159" s="200"/>
      <c r="D159" s="200" t="s">
        <v>16</v>
      </c>
      <c r="E159" s="200" t="s">
        <v>23</v>
      </c>
      <c r="F159" s="202">
        <v>234808</v>
      </c>
      <c r="G159" s="202">
        <v>11541</v>
      </c>
      <c r="H159" s="379">
        <v>15651</v>
      </c>
      <c r="I159" s="379">
        <v>1915.6480000000001</v>
      </c>
      <c r="J159" s="201">
        <f t="shared" si="16"/>
        <v>223267</v>
      </c>
      <c r="K159" s="202">
        <f t="shared" si="17"/>
        <v>14.265350456839819</v>
      </c>
      <c r="L159" s="315">
        <f t="shared" si="18"/>
        <v>4.9150795543593064E-2</v>
      </c>
      <c r="M159" s="369">
        <f t="shared" si="19"/>
        <v>8.1700813510624073</v>
      </c>
      <c r="N159" s="263"/>
    </row>
    <row r="160" spans="1:14" x14ac:dyDescent="0.25">
      <c r="A160" s="217" t="s">
        <v>77</v>
      </c>
      <c r="B160" s="200">
        <v>225</v>
      </c>
      <c r="C160" s="200"/>
      <c r="D160" s="200" t="s">
        <v>16</v>
      </c>
      <c r="E160" s="200" t="s">
        <v>43</v>
      </c>
      <c r="F160" s="202">
        <v>41578</v>
      </c>
      <c r="G160" s="202">
        <v>661</v>
      </c>
      <c r="H160" s="379">
        <v>2138</v>
      </c>
      <c r="I160" s="379">
        <v>336.58200000000005</v>
      </c>
      <c r="J160" s="201">
        <f t="shared" si="16"/>
        <v>40917</v>
      </c>
      <c r="K160" s="202">
        <f t="shared" si="17"/>
        <v>19.137979420018709</v>
      </c>
      <c r="L160" s="315">
        <f t="shared" si="18"/>
        <v>1.589783058348165E-2</v>
      </c>
      <c r="M160" s="369">
        <f t="shared" si="19"/>
        <v>6.3520925064323102</v>
      </c>
      <c r="N160" s="263"/>
    </row>
    <row r="161" spans="1:14" x14ac:dyDescent="0.25">
      <c r="A161" s="217" t="s">
        <v>77</v>
      </c>
      <c r="B161" s="200">
        <v>227</v>
      </c>
      <c r="C161" s="200"/>
      <c r="D161" s="200" t="s">
        <v>16</v>
      </c>
      <c r="E161" s="200" t="s">
        <v>23</v>
      </c>
      <c r="F161" s="202">
        <v>222650</v>
      </c>
      <c r="G161" s="202">
        <v>6676</v>
      </c>
      <c r="H161" s="379">
        <v>9651</v>
      </c>
      <c r="I161" s="379">
        <v>1800.4480000000001</v>
      </c>
      <c r="J161" s="201">
        <f t="shared" si="16"/>
        <v>215974</v>
      </c>
      <c r="K161" s="202">
        <f t="shared" si="17"/>
        <v>22.378406382758264</v>
      </c>
      <c r="L161" s="315">
        <f t="shared" si="18"/>
        <v>2.9984280260498541E-2</v>
      </c>
      <c r="M161" s="369">
        <f t="shared" si="19"/>
        <v>5.360332539456846</v>
      </c>
      <c r="N161" s="263"/>
    </row>
    <row r="162" spans="1:14" x14ac:dyDescent="0.25">
      <c r="A162" s="217" t="s">
        <v>77</v>
      </c>
      <c r="B162" s="200">
        <v>227</v>
      </c>
      <c r="C162" s="200"/>
      <c r="D162" s="200" t="s">
        <v>16</v>
      </c>
      <c r="E162" s="200" t="s">
        <v>43</v>
      </c>
      <c r="F162" s="202">
        <v>41578</v>
      </c>
      <c r="G162" s="202">
        <v>574</v>
      </c>
      <c r="H162" s="379">
        <v>1666</v>
      </c>
      <c r="I162" s="379">
        <v>336.58200000000005</v>
      </c>
      <c r="J162" s="201">
        <f t="shared" si="16"/>
        <v>41004</v>
      </c>
      <c r="K162" s="202">
        <f t="shared" si="17"/>
        <v>24.612244897959183</v>
      </c>
      <c r="L162" s="315">
        <f t="shared" si="18"/>
        <v>1.3805377844052143E-2</v>
      </c>
      <c r="M162" s="369">
        <f t="shared" si="19"/>
        <v>4.9497596425239605</v>
      </c>
      <c r="N162" s="263"/>
    </row>
    <row r="163" spans="1:14" x14ac:dyDescent="0.25">
      <c r="A163" s="217" t="s">
        <v>77</v>
      </c>
      <c r="B163" s="200">
        <v>323</v>
      </c>
      <c r="C163" s="200"/>
      <c r="D163" s="200" t="s">
        <v>16</v>
      </c>
      <c r="E163" s="200" t="s">
        <v>23</v>
      </c>
      <c r="F163" s="202">
        <v>860758</v>
      </c>
      <c r="G163" s="202">
        <v>35371</v>
      </c>
      <c r="H163" s="379">
        <v>57031</v>
      </c>
      <c r="I163" s="379">
        <v>6438.4</v>
      </c>
      <c r="J163" s="201">
        <f t="shared" si="16"/>
        <v>825387</v>
      </c>
      <c r="K163" s="202">
        <f t="shared" si="17"/>
        <v>14.472602619627922</v>
      </c>
      <c r="L163" s="315">
        <f t="shared" si="18"/>
        <v>4.1092850719946838E-2</v>
      </c>
      <c r="M163" s="369">
        <f t="shared" si="19"/>
        <v>8.857946073558649</v>
      </c>
      <c r="N163" s="263"/>
    </row>
    <row r="164" spans="1:14" x14ac:dyDescent="0.25">
      <c r="A164" s="217" t="s">
        <v>77</v>
      </c>
      <c r="B164" s="200">
        <v>323</v>
      </c>
      <c r="C164" s="200"/>
      <c r="D164" s="200" t="s">
        <v>16</v>
      </c>
      <c r="E164" s="200" t="s">
        <v>43</v>
      </c>
      <c r="F164" s="202">
        <v>170587</v>
      </c>
      <c r="G164" s="202">
        <v>4115</v>
      </c>
      <c r="H164" s="379">
        <v>8627</v>
      </c>
      <c r="I164" s="379">
        <v>1280.8800000000001</v>
      </c>
      <c r="J164" s="201">
        <f t="shared" si="16"/>
        <v>166472</v>
      </c>
      <c r="K164" s="202">
        <f t="shared" si="17"/>
        <v>19.296626869131796</v>
      </c>
      <c r="L164" s="315">
        <f t="shared" si="18"/>
        <v>2.4122588473916535E-2</v>
      </c>
      <c r="M164" s="369">
        <f t="shared" si="19"/>
        <v>6.7352132908625313</v>
      </c>
      <c r="N164" s="263"/>
    </row>
    <row r="165" spans="1:14" x14ac:dyDescent="0.25">
      <c r="A165" s="217" t="s">
        <v>77</v>
      </c>
      <c r="B165" s="200">
        <v>323</v>
      </c>
      <c r="C165" s="200"/>
      <c r="D165" s="200" t="s">
        <v>16</v>
      </c>
      <c r="E165" s="200" t="s">
        <v>44</v>
      </c>
      <c r="F165" s="202">
        <v>171517</v>
      </c>
      <c r="G165" s="202">
        <v>3114</v>
      </c>
      <c r="H165" s="379">
        <v>7602</v>
      </c>
      <c r="I165" s="379">
        <v>1248.7399999999998</v>
      </c>
      <c r="J165" s="201">
        <f t="shared" si="16"/>
        <v>168403</v>
      </c>
      <c r="K165" s="202">
        <f t="shared" si="17"/>
        <v>22.152459878979215</v>
      </c>
      <c r="L165" s="315">
        <f t="shared" si="18"/>
        <v>1.8155634718424414E-2</v>
      </c>
      <c r="M165" s="369">
        <f t="shared" si="19"/>
        <v>6.0877364383298378</v>
      </c>
      <c r="N165" s="263"/>
    </row>
    <row r="166" spans="1:14" x14ac:dyDescent="0.25">
      <c r="A166" s="217" t="s">
        <v>8</v>
      </c>
      <c r="B166" s="200">
        <v>425</v>
      </c>
      <c r="C166" s="200" t="s">
        <v>73</v>
      </c>
      <c r="D166" s="200" t="s">
        <v>16</v>
      </c>
      <c r="E166" s="200" t="s">
        <v>23</v>
      </c>
      <c r="F166" s="202">
        <v>1428342.12</v>
      </c>
      <c r="G166" s="202">
        <v>33973.03</v>
      </c>
      <c r="H166" s="379">
        <v>19371</v>
      </c>
      <c r="I166" s="379">
        <v>6494.6</v>
      </c>
      <c r="J166" s="201">
        <f t="shared" si="16"/>
        <v>1394369.09</v>
      </c>
      <c r="K166" s="202">
        <f t="shared" si="17"/>
        <v>71.982297764699808</v>
      </c>
      <c r="L166" s="315">
        <f t="shared" si="18"/>
        <v>2.378493886324657E-2</v>
      </c>
      <c r="M166" s="369">
        <f t="shared" si="19"/>
        <v>2.9826317248175407</v>
      </c>
      <c r="N166" s="263"/>
    </row>
    <row r="167" spans="1:14" x14ac:dyDescent="0.25">
      <c r="A167" s="217" t="s">
        <v>8</v>
      </c>
      <c r="B167" s="200">
        <v>444</v>
      </c>
      <c r="C167" s="200"/>
      <c r="D167" s="200" t="s">
        <v>16</v>
      </c>
      <c r="E167" s="200" t="s">
        <v>23</v>
      </c>
      <c r="F167" s="202">
        <v>2903890.86</v>
      </c>
      <c r="G167" s="202">
        <v>210395.65</v>
      </c>
      <c r="H167" s="379">
        <v>119965</v>
      </c>
      <c r="I167" s="379">
        <v>14740.890000000003</v>
      </c>
      <c r="J167" s="201">
        <f t="shared" si="16"/>
        <v>2693495.21</v>
      </c>
      <c r="K167" s="202">
        <f t="shared" si="17"/>
        <v>22.452342016421454</v>
      </c>
      <c r="L167" s="315">
        <f t="shared" si="18"/>
        <v>7.2453015675664895E-2</v>
      </c>
      <c r="M167" s="369">
        <f t="shared" si="19"/>
        <v>8.1382467408684267</v>
      </c>
      <c r="N167" s="263"/>
    </row>
    <row r="168" spans="1:14" x14ac:dyDescent="0.25">
      <c r="A168" s="217" t="s">
        <v>8</v>
      </c>
      <c r="B168" s="200">
        <v>444</v>
      </c>
      <c r="C168" s="200"/>
      <c r="D168" s="200" t="s">
        <v>16</v>
      </c>
      <c r="E168" s="200" t="s">
        <v>43</v>
      </c>
      <c r="F168" s="202">
        <v>597513.03</v>
      </c>
      <c r="G168" s="202">
        <v>38431.21</v>
      </c>
      <c r="H168" s="379">
        <v>21913</v>
      </c>
      <c r="I168" s="379">
        <v>2811.0399999999995</v>
      </c>
      <c r="J168" s="201">
        <f t="shared" si="16"/>
        <v>559081.82000000007</v>
      </c>
      <c r="K168" s="202">
        <f t="shared" si="17"/>
        <v>25.513705106557754</v>
      </c>
      <c r="L168" s="315">
        <f t="shared" si="18"/>
        <v>6.4318614106206179E-2</v>
      </c>
      <c r="M168" s="369">
        <f t="shared" si="19"/>
        <v>7.7953355341795225</v>
      </c>
      <c r="N168" s="263"/>
    </row>
    <row r="169" spans="1:14" x14ac:dyDescent="0.25">
      <c r="A169" s="217" t="s">
        <v>8</v>
      </c>
      <c r="B169" s="200">
        <v>444</v>
      </c>
      <c r="C169" s="200"/>
      <c r="D169" s="200" t="s">
        <v>16</v>
      </c>
      <c r="E169" s="200" t="s">
        <v>44</v>
      </c>
      <c r="F169" s="202">
        <v>609634.56999999995</v>
      </c>
      <c r="G169" s="202">
        <v>31845.66</v>
      </c>
      <c r="H169" s="379">
        <v>18158</v>
      </c>
      <c r="I169" s="379">
        <v>2867.8099999999995</v>
      </c>
      <c r="J169" s="201">
        <f t="shared" si="16"/>
        <v>577788.90999999992</v>
      </c>
      <c r="K169" s="202">
        <f t="shared" si="17"/>
        <v>31.820074347395082</v>
      </c>
      <c r="L169" s="315">
        <f t="shared" si="18"/>
        <v>5.2237293564241283E-2</v>
      </c>
      <c r="M169" s="369">
        <f t="shared" si="19"/>
        <v>6.3316607446099997</v>
      </c>
      <c r="N169" s="263"/>
    </row>
    <row r="170" spans="1:14" x14ac:dyDescent="0.25">
      <c r="A170" s="217" t="s">
        <v>8</v>
      </c>
      <c r="B170" s="200">
        <v>445</v>
      </c>
      <c r="C170" s="200"/>
      <c r="D170" s="200" t="s">
        <v>16</v>
      </c>
      <c r="E170" s="200" t="s">
        <v>43</v>
      </c>
      <c r="F170" s="202">
        <v>195332.58</v>
      </c>
      <c r="G170" s="202">
        <v>7236.21</v>
      </c>
      <c r="H170" s="379">
        <v>4126</v>
      </c>
      <c r="I170" s="379">
        <v>731.2</v>
      </c>
      <c r="J170" s="201">
        <f t="shared" si="16"/>
        <v>188096.37</v>
      </c>
      <c r="K170" s="202">
        <f t="shared" si="17"/>
        <v>45.588068347067377</v>
      </c>
      <c r="L170" s="315">
        <f t="shared" si="18"/>
        <v>3.7045586558064204E-2</v>
      </c>
      <c r="M170" s="369">
        <f t="shared" si="19"/>
        <v>5.6427789934354484</v>
      </c>
      <c r="N170" s="263"/>
    </row>
    <row r="171" spans="1:14" x14ac:dyDescent="0.25">
      <c r="A171" s="217" t="s">
        <v>8</v>
      </c>
      <c r="B171" s="200">
        <v>445</v>
      </c>
      <c r="C171" s="200"/>
      <c r="D171" s="200" t="s">
        <v>16</v>
      </c>
      <c r="E171" s="200" t="s">
        <v>44</v>
      </c>
      <c r="F171" s="202">
        <v>199617.71</v>
      </c>
      <c r="G171" s="202">
        <v>5780.55</v>
      </c>
      <c r="H171" s="379">
        <v>3296</v>
      </c>
      <c r="I171" s="379">
        <v>744.2</v>
      </c>
      <c r="J171" s="201">
        <f t="shared" si="16"/>
        <v>193837.16</v>
      </c>
      <c r="K171" s="202">
        <f t="shared" si="17"/>
        <v>58.809817961165052</v>
      </c>
      <c r="L171" s="315">
        <f t="shared" si="18"/>
        <v>2.8958101963999089E-2</v>
      </c>
      <c r="M171" s="369">
        <f t="shared" si="19"/>
        <v>4.4289169578070409</v>
      </c>
      <c r="N171" s="263"/>
    </row>
    <row r="172" spans="1:14" x14ac:dyDescent="0.25">
      <c r="A172" s="217" t="s">
        <v>8</v>
      </c>
      <c r="B172" s="200">
        <v>446</v>
      </c>
      <c r="C172" s="200"/>
      <c r="D172" s="200" t="s">
        <v>16</v>
      </c>
      <c r="E172" s="200" t="s">
        <v>23</v>
      </c>
      <c r="F172" s="202">
        <v>1497395.76</v>
      </c>
      <c r="G172" s="202">
        <v>73468.800000000003</v>
      </c>
      <c r="H172" s="379">
        <v>41891</v>
      </c>
      <c r="I172" s="379">
        <v>6966.3500000000013</v>
      </c>
      <c r="J172" s="201">
        <f t="shared" si="16"/>
        <v>1423926.96</v>
      </c>
      <c r="K172" s="202">
        <f t="shared" si="17"/>
        <v>33.991238213458736</v>
      </c>
      <c r="L172" s="315">
        <f t="shared" si="18"/>
        <v>4.9064383620266161E-2</v>
      </c>
      <c r="M172" s="369">
        <f t="shared" si="19"/>
        <v>6.0133355343903183</v>
      </c>
      <c r="N172" s="263"/>
    </row>
    <row r="173" spans="1:14" x14ac:dyDescent="0.25">
      <c r="A173" s="217" t="s">
        <v>8</v>
      </c>
      <c r="B173" s="200">
        <v>446</v>
      </c>
      <c r="C173" s="200"/>
      <c r="D173" s="200" t="s">
        <v>16</v>
      </c>
      <c r="E173" s="200" t="s">
        <v>43</v>
      </c>
      <c r="F173" s="202">
        <v>160903.13</v>
      </c>
      <c r="G173" s="202">
        <v>6924.04</v>
      </c>
      <c r="H173" s="379">
        <v>3948</v>
      </c>
      <c r="I173" s="379">
        <v>643.68000000000006</v>
      </c>
      <c r="J173" s="201">
        <f t="shared" si="16"/>
        <v>153979.09</v>
      </c>
      <c r="K173" s="202">
        <f t="shared" si="17"/>
        <v>39.001795845997975</v>
      </c>
      <c r="L173" s="315">
        <f t="shared" si="18"/>
        <v>4.3032351204106471E-2</v>
      </c>
      <c r="M173" s="369">
        <f t="shared" si="19"/>
        <v>6.133482475764354</v>
      </c>
      <c r="N173" s="263"/>
    </row>
    <row r="174" spans="1:14" x14ac:dyDescent="0.25">
      <c r="A174" s="217" t="s">
        <v>8</v>
      </c>
      <c r="B174" s="200">
        <v>446</v>
      </c>
      <c r="C174" s="200"/>
      <c r="D174" s="200" t="s">
        <v>16</v>
      </c>
      <c r="E174" s="200" t="s">
        <v>44</v>
      </c>
      <c r="F174" s="202">
        <v>163978.98000000001</v>
      </c>
      <c r="G174" s="202">
        <v>6399.65</v>
      </c>
      <c r="H174" s="379">
        <v>3649</v>
      </c>
      <c r="I174" s="379">
        <v>655.6</v>
      </c>
      <c r="J174" s="201">
        <f t="shared" si="16"/>
        <v>157579.33000000002</v>
      </c>
      <c r="K174" s="202">
        <f t="shared" si="17"/>
        <v>43.184250479583454</v>
      </c>
      <c r="L174" s="315">
        <f t="shared" si="18"/>
        <v>3.9027258249807378E-2</v>
      </c>
      <c r="M174" s="369">
        <f t="shared" si="19"/>
        <v>5.5658938377059179</v>
      </c>
      <c r="N174" s="263"/>
    </row>
    <row r="175" spans="1:14" x14ac:dyDescent="0.25">
      <c r="A175" s="217" t="s">
        <v>8</v>
      </c>
      <c r="B175" s="200">
        <v>447</v>
      </c>
      <c r="C175" s="200"/>
      <c r="D175" s="200" t="s">
        <v>16</v>
      </c>
      <c r="E175" s="200" t="s">
        <v>23</v>
      </c>
      <c r="F175" s="202">
        <v>607818.37</v>
      </c>
      <c r="G175" s="202">
        <v>18841.169999999998</v>
      </c>
      <c r="H175" s="379">
        <v>10743</v>
      </c>
      <c r="I175" s="379">
        <v>3160.69</v>
      </c>
      <c r="J175" s="201">
        <f t="shared" si="16"/>
        <v>588977.19999999995</v>
      </c>
      <c r="K175" s="202">
        <f t="shared" si="17"/>
        <v>54.8242762729219</v>
      </c>
      <c r="L175" s="315">
        <f t="shared" si="18"/>
        <v>3.0998026597978602E-2</v>
      </c>
      <c r="M175" s="369">
        <f t="shared" si="19"/>
        <v>3.3989413703969702</v>
      </c>
      <c r="N175" s="263"/>
    </row>
    <row r="176" spans="1:14" x14ac:dyDescent="0.25">
      <c r="A176" s="217" t="s">
        <v>8</v>
      </c>
      <c r="B176" s="200">
        <v>447</v>
      </c>
      <c r="C176" s="200"/>
      <c r="D176" s="200" t="s">
        <v>16</v>
      </c>
      <c r="E176" s="200" t="s">
        <v>43</v>
      </c>
      <c r="F176" s="202">
        <v>140882.97</v>
      </c>
      <c r="G176" s="202">
        <v>3616.35</v>
      </c>
      <c r="H176" s="379">
        <v>2062</v>
      </c>
      <c r="I176" s="379">
        <v>673.92</v>
      </c>
      <c r="J176" s="201">
        <f t="shared" si="16"/>
        <v>137266.62</v>
      </c>
      <c r="K176" s="202">
        <f t="shared" si="17"/>
        <v>66.569650824442292</v>
      </c>
      <c r="L176" s="315">
        <f t="shared" si="18"/>
        <v>2.566917775796464E-2</v>
      </c>
      <c r="M176" s="369">
        <f t="shared" si="19"/>
        <v>3.0597103513770181</v>
      </c>
      <c r="N176" s="263"/>
    </row>
    <row r="177" spans="1:14" x14ac:dyDescent="0.25">
      <c r="A177" s="217" t="s">
        <v>8</v>
      </c>
      <c r="B177" s="200">
        <v>447</v>
      </c>
      <c r="C177" s="200"/>
      <c r="D177" s="200" t="s">
        <v>16</v>
      </c>
      <c r="E177" s="200" t="s">
        <v>44</v>
      </c>
      <c r="F177" s="202">
        <v>143516.91</v>
      </c>
      <c r="G177" s="202">
        <v>2879.75</v>
      </c>
      <c r="H177" s="379">
        <v>1642</v>
      </c>
      <c r="I177" s="379">
        <v>687.13</v>
      </c>
      <c r="J177" s="201">
        <f t="shared" si="16"/>
        <v>140637.16</v>
      </c>
      <c r="K177" s="202">
        <f t="shared" si="17"/>
        <v>85.649914738124238</v>
      </c>
      <c r="L177" s="315">
        <f t="shared" si="18"/>
        <v>2.0065579728549061E-2</v>
      </c>
      <c r="M177" s="369">
        <f t="shared" si="19"/>
        <v>2.3896497023852836</v>
      </c>
      <c r="N177" s="263"/>
    </row>
    <row r="178" spans="1:14" x14ac:dyDescent="0.25">
      <c r="A178" s="217" t="s">
        <v>8</v>
      </c>
      <c r="B178" s="200">
        <v>495</v>
      </c>
      <c r="C178" s="200"/>
      <c r="D178" s="200" t="s">
        <v>61</v>
      </c>
      <c r="E178" s="200" t="s">
        <v>23</v>
      </c>
      <c r="F178" s="202">
        <v>1583846.89</v>
      </c>
      <c r="G178" s="202">
        <v>99826.79</v>
      </c>
      <c r="H178" s="379">
        <v>56920</v>
      </c>
      <c r="I178" s="379">
        <v>7409.2799999999988</v>
      </c>
      <c r="J178" s="201">
        <f t="shared" si="16"/>
        <v>1484020.0999999999</v>
      </c>
      <c r="K178" s="202">
        <f t="shared" si="17"/>
        <v>26.072032677442021</v>
      </c>
      <c r="L178" s="315">
        <f t="shared" si="18"/>
        <v>6.3028055697984794E-2</v>
      </c>
      <c r="M178" s="369">
        <f t="shared" si="19"/>
        <v>7.6822579251965113</v>
      </c>
      <c r="N178" s="263"/>
    </row>
    <row r="179" spans="1:14" x14ac:dyDescent="0.25">
      <c r="A179" s="217" t="s">
        <v>8</v>
      </c>
      <c r="B179" s="200">
        <v>495</v>
      </c>
      <c r="C179" s="200"/>
      <c r="D179" s="200" t="s">
        <v>61</v>
      </c>
      <c r="E179" s="200" t="s">
        <v>43</v>
      </c>
      <c r="F179" s="202">
        <v>373901.12</v>
      </c>
      <c r="G179" s="202">
        <v>18665.79</v>
      </c>
      <c r="H179" s="379">
        <v>10643</v>
      </c>
      <c r="I179" s="379">
        <v>1574.6999999999998</v>
      </c>
      <c r="J179" s="201">
        <f t="shared" si="16"/>
        <v>355235.33</v>
      </c>
      <c r="K179" s="202">
        <f t="shared" si="17"/>
        <v>33.377368223245327</v>
      </c>
      <c r="L179" s="315">
        <f t="shared" si="18"/>
        <v>4.9921727969148635E-2</v>
      </c>
      <c r="M179" s="369">
        <f t="shared" si="19"/>
        <v>6.7587476979742185</v>
      </c>
      <c r="N179" s="263"/>
    </row>
    <row r="180" spans="1:14" x14ac:dyDescent="0.25">
      <c r="A180" s="217" t="s">
        <v>8</v>
      </c>
      <c r="B180" s="200">
        <v>495</v>
      </c>
      <c r="C180" s="200"/>
      <c r="D180" s="200" t="s">
        <v>61</v>
      </c>
      <c r="E180" s="200" t="s">
        <v>44</v>
      </c>
      <c r="F180" s="202">
        <v>401732.16</v>
      </c>
      <c r="G180" s="202">
        <v>16897.95</v>
      </c>
      <c r="H180" s="379">
        <v>9635</v>
      </c>
      <c r="I180" s="379">
        <v>1694.5899999999997</v>
      </c>
      <c r="J180" s="201">
        <f t="shared" si="16"/>
        <v>384834.20999999996</v>
      </c>
      <c r="K180" s="202">
        <f t="shared" si="17"/>
        <v>39.941277633627394</v>
      </c>
      <c r="L180" s="315">
        <f t="shared" si="18"/>
        <v>4.2062726568866185E-2</v>
      </c>
      <c r="M180" s="369">
        <f t="shared" si="19"/>
        <v>5.685741093715885</v>
      </c>
      <c r="N180" s="263"/>
    </row>
    <row r="181" spans="1:14" x14ac:dyDescent="0.25">
      <c r="A181" s="217" t="s">
        <v>8</v>
      </c>
      <c r="B181" s="200">
        <v>497</v>
      </c>
      <c r="C181" s="200"/>
      <c r="D181" s="200" t="s">
        <v>16</v>
      </c>
      <c r="E181" s="200" t="s">
        <v>23</v>
      </c>
      <c r="F181" s="202">
        <v>819845.96</v>
      </c>
      <c r="G181" s="202">
        <v>17027.73</v>
      </c>
      <c r="H181" s="379">
        <v>9709</v>
      </c>
      <c r="I181" s="379">
        <v>3816.5299999999997</v>
      </c>
      <c r="J181" s="201">
        <f t="shared" si="16"/>
        <v>802818.23</v>
      </c>
      <c r="K181" s="202">
        <f t="shared" si="17"/>
        <v>82.68804511278195</v>
      </c>
      <c r="L181" s="315">
        <f t="shared" si="18"/>
        <v>2.0769426002904254E-2</v>
      </c>
      <c r="M181" s="369">
        <f t="shared" si="19"/>
        <v>2.5439338875889881</v>
      </c>
      <c r="N181" s="263"/>
    </row>
    <row r="182" spans="1:14" x14ac:dyDescent="0.25">
      <c r="A182" s="217" t="s">
        <v>8</v>
      </c>
      <c r="B182" s="200">
        <v>499</v>
      </c>
      <c r="C182" s="200"/>
      <c r="D182" s="200" t="s">
        <v>16</v>
      </c>
      <c r="E182" s="200" t="s">
        <v>23</v>
      </c>
      <c r="F182" s="202">
        <v>1467354.24</v>
      </c>
      <c r="G182" s="202">
        <v>17839.740000000002</v>
      </c>
      <c r="H182" s="379">
        <v>10172</v>
      </c>
      <c r="I182" s="379">
        <v>7075.45</v>
      </c>
      <c r="J182" s="201">
        <f t="shared" si="16"/>
        <v>1449514.5</v>
      </c>
      <c r="K182" s="202">
        <f t="shared" si="17"/>
        <v>142.50044239087691</v>
      </c>
      <c r="L182" s="315">
        <f t="shared" si="18"/>
        <v>1.2157759533239909E-2</v>
      </c>
      <c r="M182" s="369">
        <f t="shared" si="19"/>
        <v>1.4376470754510313</v>
      </c>
      <c r="N182" s="263"/>
    </row>
    <row r="183" spans="1:14" x14ac:dyDescent="0.25">
      <c r="A183" s="217" t="s">
        <v>77</v>
      </c>
      <c r="B183" s="200">
        <v>515</v>
      </c>
      <c r="C183" s="200"/>
      <c r="D183" s="200" t="s">
        <v>16</v>
      </c>
      <c r="E183" s="200" t="s">
        <v>23</v>
      </c>
      <c r="F183" s="202">
        <v>4688831.4189999998</v>
      </c>
      <c r="G183" s="202">
        <v>348907.08409999998</v>
      </c>
      <c r="H183" s="379">
        <v>297087</v>
      </c>
      <c r="I183" s="379">
        <v>12900.93</v>
      </c>
      <c r="J183" s="201">
        <f t="shared" si="16"/>
        <v>4339924.3349000001</v>
      </c>
      <c r="K183" s="202">
        <f t="shared" si="17"/>
        <v>14.608260660681887</v>
      </c>
      <c r="L183" s="315">
        <f t="shared" si="18"/>
        <v>7.4412375477216963E-2</v>
      </c>
      <c r="M183" s="369">
        <f t="shared" si="19"/>
        <v>23.028339817362003</v>
      </c>
      <c r="N183" s="263"/>
    </row>
    <row r="184" spans="1:14" x14ac:dyDescent="0.25">
      <c r="A184" s="217" t="s">
        <v>77</v>
      </c>
      <c r="B184" s="200">
        <v>515</v>
      </c>
      <c r="C184" s="200"/>
      <c r="D184" s="200" t="s">
        <v>16</v>
      </c>
      <c r="E184" s="200" t="s">
        <v>43</v>
      </c>
      <c r="F184" s="202">
        <v>899031.65689999994</v>
      </c>
      <c r="G184" s="202">
        <v>51097.02549</v>
      </c>
      <c r="H184" s="379">
        <v>49475</v>
      </c>
      <c r="I184" s="379">
        <v>2228.19</v>
      </c>
      <c r="J184" s="201">
        <f t="shared" si="16"/>
        <v>847934.63140999991</v>
      </c>
      <c r="K184" s="202">
        <f t="shared" si="17"/>
        <v>17.138648436786255</v>
      </c>
      <c r="L184" s="315">
        <f t="shared" si="18"/>
        <v>5.6835624305144536E-2</v>
      </c>
      <c r="M184" s="369">
        <f t="shared" si="19"/>
        <v>22.20412083350163</v>
      </c>
      <c r="N184" s="263"/>
    </row>
    <row r="185" spans="1:14" x14ac:dyDescent="0.25">
      <c r="A185" s="217" t="s">
        <v>77</v>
      </c>
      <c r="B185" s="200">
        <v>515</v>
      </c>
      <c r="C185" s="200"/>
      <c r="D185" s="200" t="s">
        <v>16</v>
      </c>
      <c r="E185" s="200" t="s">
        <v>44</v>
      </c>
      <c r="F185" s="202">
        <v>802827.63370000001</v>
      </c>
      <c r="G185" s="202">
        <v>44030.144829999997</v>
      </c>
      <c r="H185" s="379">
        <v>43380</v>
      </c>
      <c r="I185" s="379">
        <v>1975.35</v>
      </c>
      <c r="J185" s="201">
        <f t="shared" si="16"/>
        <v>758797.48887</v>
      </c>
      <c r="K185" s="202">
        <f t="shared" si="17"/>
        <v>17.491873878976488</v>
      </c>
      <c r="L185" s="315">
        <f t="shared" si="18"/>
        <v>5.4843833198762494E-2</v>
      </c>
      <c r="M185" s="369">
        <f t="shared" si="19"/>
        <v>21.960665198572407</v>
      </c>
      <c r="N185" s="263"/>
    </row>
    <row r="186" spans="1:14" x14ac:dyDescent="0.25">
      <c r="A186" s="217" t="s">
        <v>77</v>
      </c>
      <c r="B186" s="200">
        <v>534</v>
      </c>
      <c r="C186" s="200"/>
      <c r="D186" s="200" t="s">
        <v>16</v>
      </c>
      <c r="E186" s="200" t="s">
        <v>23</v>
      </c>
      <c r="F186" s="202">
        <v>386325</v>
      </c>
      <c r="G186" s="202">
        <v>20060</v>
      </c>
      <c r="H186" s="379">
        <v>27552</v>
      </c>
      <c r="I186" s="379">
        <v>3337.5680000000002</v>
      </c>
      <c r="J186" s="201">
        <f t="shared" si="16"/>
        <v>366265</v>
      </c>
      <c r="K186" s="202">
        <f t="shared" si="17"/>
        <v>13.293590301974449</v>
      </c>
      <c r="L186" s="315">
        <f t="shared" si="18"/>
        <v>5.1925192519251928E-2</v>
      </c>
      <c r="M186" s="369">
        <f t="shared" si="19"/>
        <v>8.2551127048197959</v>
      </c>
      <c r="N186" s="263"/>
    </row>
    <row r="187" spans="1:14" x14ac:dyDescent="0.25">
      <c r="A187" s="217" t="s">
        <v>77</v>
      </c>
      <c r="B187" s="200">
        <v>534</v>
      </c>
      <c r="C187" s="200"/>
      <c r="D187" s="200" t="s">
        <v>16</v>
      </c>
      <c r="E187" s="200" t="s">
        <v>43</v>
      </c>
      <c r="F187" s="202">
        <v>60139</v>
      </c>
      <c r="G187" s="202">
        <v>782</v>
      </c>
      <c r="H187" s="379">
        <v>2723</v>
      </c>
      <c r="I187" s="379">
        <v>505.56</v>
      </c>
      <c r="J187" s="201">
        <f t="shared" si="16"/>
        <v>59357</v>
      </c>
      <c r="K187" s="202">
        <f t="shared" si="17"/>
        <v>21.79838413514506</v>
      </c>
      <c r="L187" s="315">
        <f t="shared" si="18"/>
        <v>1.3003209231945992E-2</v>
      </c>
      <c r="M187" s="369">
        <f t="shared" si="19"/>
        <v>5.3861064957670699</v>
      </c>
      <c r="N187" s="263"/>
    </row>
    <row r="188" spans="1:14" x14ac:dyDescent="0.25">
      <c r="A188" s="217" t="s">
        <v>77</v>
      </c>
      <c r="B188" s="200">
        <v>534</v>
      </c>
      <c r="C188" s="200"/>
      <c r="D188" s="200" t="s">
        <v>16</v>
      </c>
      <c r="E188" s="200" t="s">
        <v>44</v>
      </c>
      <c r="F188" s="202">
        <v>62872</v>
      </c>
      <c r="G188" s="202">
        <v>532</v>
      </c>
      <c r="H188" s="379">
        <v>2172</v>
      </c>
      <c r="I188" s="379">
        <v>528.54</v>
      </c>
      <c r="J188" s="201">
        <f t="shared" si="16"/>
        <v>62340</v>
      </c>
      <c r="K188" s="202">
        <f t="shared" si="17"/>
        <v>28.701657458563535</v>
      </c>
      <c r="L188" s="315">
        <f t="shared" si="18"/>
        <v>8.4616363405013353E-3</v>
      </c>
      <c r="M188" s="369">
        <f t="shared" si="19"/>
        <v>4.1094335338857988</v>
      </c>
      <c r="N188" s="263"/>
    </row>
    <row r="189" spans="1:14" x14ac:dyDescent="0.25">
      <c r="A189" s="217" t="s">
        <v>77</v>
      </c>
      <c r="B189" s="200">
        <v>537</v>
      </c>
      <c r="C189" s="200"/>
      <c r="D189" s="200" t="s">
        <v>16</v>
      </c>
      <c r="E189" s="200" t="s">
        <v>23</v>
      </c>
      <c r="F189" s="202">
        <v>142523</v>
      </c>
      <c r="G189" s="202">
        <v>8043</v>
      </c>
      <c r="H189" s="379">
        <v>7599</v>
      </c>
      <c r="I189" s="379">
        <v>1211.2</v>
      </c>
      <c r="J189" s="201">
        <f t="shared" si="16"/>
        <v>134480</v>
      </c>
      <c r="K189" s="202">
        <f t="shared" si="17"/>
        <v>17.697065403342545</v>
      </c>
      <c r="L189" s="315">
        <f t="shared" si="18"/>
        <v>5.6432996779467171E-2</v>
      </c>
      <c r="M189" s="369">
        <f t="shared" si="19"/>
        <v>6.27394319682959</v>
      </c>
      <c r="N189" s="263"/>
    </row>
    <row r="190" spans="1:14" x14ac:dyDescent="0.25">
      <c r="A190" s="217" t="s">
        <v>77</v>
      </c>
      <c r="B190" s="200">
        <v>538</v>
      </c>
      <c r="C190" s="200"/>
      <c r="D190" s="200" t="s">
        <v>16</v>
      </c>
      <c r="E190" s="200" t="s">
        <v>23</v>
      </c>
      <c r="F190" s="202">
        <v>847012</v>
      </c>
      <c r="G190" s="202">
        <v>82318</v>
      </c>
      <c r="H190" s="379">
        <v>82772</v>
      </c>
      <c r="I190" s="379">
        <v>8044.3920000000007</v>
      </c>
      <c r="J190" s="201">
        <f t="shared" si="16"/>
        <v>764694</v>
      </c>
      <c r="K190" s="202">
        <f t="shared" si="17"/>
        <v>9.2385589329725022</v>
      </c>
      <c r="L190" s="315">
        <f t="shared" si="18"/>
        <v>9.718634446737473E-2</v>
      </c>
      <c r="M190" s="369">
        <f t="shared" si="19"/>
        <v>10.289404096667591</v>
      </c>
      <c r="N190" s="263"/>
    </row>
    <row r="191" spans="1:14" x14ac:dyDescent="0.25">
      <c r="A191" s="217" t="s">
        <v>77</v>
      </c>
      <c r="B191" s="200">
        <v>538</v>
      </c>
      <c r="C191" s="200"/>
      <c r="D191" s="200" t="s">
        <v>16</v>
      </c>
      <c r="E191" s="200" t="s">
        <v>43</v>
      </c>
      <c r="F191" s="202">
        <v>123765</v>
      </c>
      <c r="G191" s="202">
        <v>11337</v>
      </c>
      <c r="H191" s="379">
        <v>13524</v>
      </c>
      <c r="I191" s="379">
        <v>1175.1600000000001</v>
      </c>
      <c r="J191" s="201">
        <f t="shared" si="16"/>
        <v>112428</v>
      </c>
      <c r="K191" s="202">
        <f t="shared" si="17"/>
        <v>8.3132209405501332</v>
      </c>
      <c r="L191" s="315">
        <f t="shared" si="18"/>
        <v>9.1601018058417166E-2</v>
      </c>
      <c r="M191" s="369">
        <f t="shared" si="19"/>
        <v>11.508220157255181</v>
      </c>
      <c r="N191" s="263"/>
    </row>
    <row r="192" spans="1:14" x14ac:dyDescent="0.25">
      <c r="A192" s="217" t="s">
        <v>77</v>
      </c>
      <c r="B192" s="200">
        <v>538</v>
      </c>
      <c r="C192" s="200"/>
      <c r="D192" s="200" t="s">
        <v>16</v>
      </c>
      <c r="E192" s="200" t="s">
        <v>44</v>
      </c>
      <c r="F192" s="202">
        <v>128777</v>
      </c>
      <c r="G192" s="202">
        <v>7040</v>
      </c>
      <c r="H192" s="379">
        <v>11455</v>
      </c>
      <c r="I192" s="379">
        <v>1204.6199999999999</v>
      </c>
      <c r="J192" s="201">
        <f t="shared" si="16"/>
        <v>121737</v>
      </c>
      <c r="K192" s="202">
        <f t="shared" si="17"/>
        <v>10.627411610650372</v>
      </c>
      <c r="L192" s="315">
        <f t="shared" si="18"/>
        <v>5.4668147262321685E-2</v>
      </c>
      <c r="M192" s="369">
        <f t="shared" si="19"/>
        <v>9.5092228254553319</v>
      </c>
      <c r="N192" s="263"/>
    </row>
    <row r="193" spans="1:14" x14ac:dyDescent="0.25">
      <c r="A193" s="217" t="s">
        <v>77</v>
      </c>
      <c r="B193" s="200">
        <v>539</v>
      </c>
      <c r="C193" s="200"/>
      <c r="D193" s="200" t="s">
        <v>16</v>
      </c>
      <c r="E193" s="200" t="s">
        <v>23</v>
      </c>
      <c r="F193" s="202">
        <v>732731</v>
      </c>
      <c r="G193" s="202">
        <v>110602</v>
      </c>
      <c r="H193" s="379">
        <v>126052</v>
      </c>
      <c r="I193" s="379">
        <v>6468.8</v>
      </c>
      <c r="J193" s="201">
        <f t="shared" si="16"/>
        <v>622129</v>
      </c>
      <c r="K193" s="202">
        <f t="shared" si="17"/>
        <v>4.9354948751308987</v>
      </c>
      <c r="L193" s="315">
        <f t="shared" si="18"/>
        <v>0.15094488973443188</v>
      </c>
      <c r="M193" s="369">
        <f t="shared" si="19"/>
        <v>19.486148899332179</v>
      </c>
      <c r="N193" s="263"/>
    </row>
    <row r="194" spans="1:14" x14ac:dyDescent="0.25">
      <c r="A194" s="217" t="s">
        <v>77</v>
      </c>
      <c r="B194" s="200">
        <v>539</v>
      </c>
      <c r="C194" s="200"/>
      <c r="D194" s="200" t="s">
        <v>16</v>
      </c>
      <c r="E194" s="200" t="s">
        <v>43</v>
      </c>
      <c r="F194" s="202">
        <v>91046</v>
      </c>
      <c r="G194" s="202">
        <v>8184</v>
      </c>
      <c r="H194" s="379">
        <v>12671</v>
      </c>
      <c r="I194" s="379">
        <v>702.8</v>
      </c>
      <c r="J194" s="201">
        <f t="shared" si="16"/>
        <v>82862</v>
      </c>
      <c r="K194" s="202">
        <f t="shared" si="17"/>
        <v>6.5394996448583376</v>
      </c>
      <c r="L194" s="315">
        <f t="shared" si="18"/>
        <v>8.9888627726643675E-2</v>
      </c>
      <c r="M194" s="369">
        <f t="shared" si="19"/>
        <v>18.029311326124077</v>
      </c>
      <c r="N194" s="263"/>
    </row>
    <row r="195" spans="1:14" x14ac:dyDescent="0.25">
      <c r="A195" s="217" t="s">
        <v>77</v>
      </c>
      <c r="B195" s="200">
        <v>539</v>
      </c>
      <c r="C195" s="200"/>
      <c r="D195" s="200" t="s">
        <v>16</v>
      </c>
      <c r="E195" s="200" t="s">
        <v>44</v>
      </c>
      <c r="F195" s="202">
        <v>87830</v>
      </c>
      <c r="G195" s="202">
        <v>4902</v>
      </c>
      <c r="H195" s="379">
        <v>9597</v>
      </c>
      <c r="I195" s="379">
        <v>677.26</v>
      </c>
      <c r="J195" s="201">
        <f t="shared" si="16"/>
        <v>82928</v>
      </c>
      <c r="K195" s="202">
        <f t="shared" si="17"/>
        <v>8.6410336563509436</v>
      </c>
      <c r="L195" s="315">
        <f t="shared" si="18"/>
        <v>5.5812364795627921E-2</v>
      </c>
      <c r="M195" s="369">
        <f t="shared" si="19"/>
        <v>14.170333402238432</v>
      </c>
      <c r="N195" s="263"/>
    </row>
    <row r="196" spans="1:14" x14ac:dyDescent="0.25">
      <c r="A196" s="217" t="s">
        <v>77</v>
      </c>
      <c r="B196" s="200">
        <v>540</v>
      </c>
      <c r="C196" s="200"/>
      <c r="D196" s="200" t="s">
        <v>16</v>
      </c>
      <c r="E196" s="200" t="s">
        <v>23</v>
      </c>
      <c r="F196" s="202">
        <v>1127232</v>
      </c>
      <c r="G196" s="202">
        <v>3737</v>
      </c>
      <c r="H196" s="379">
        <v>149796</v>
      </c>
      <c r="I196" s="379">
        <v>9949.2200000000012</v>
      </c>
      <c r="J196" s="201">
        <f t="shared" si="16"/>
        <v>1123495</v>
      </c>
      <c r="K196" s="202">
        <f t="shared" si="17"/>
        <v>7.50016689364202</v>
      </c>
      <c r="L196" s="315">
        <f t="shared" si="18"/>
        <v>3.3152004201442119E-3</v>
      </c>
      <c r="M196" s="369">
        <f t="shared" si="19"/>
        <v>15.056054645489795</v>
      </c>
      <c r="N196" s="263"/>
    </row>
    <row r="197" spans="1:14" x14ac:dyDescent="0.25">
      <c r="A197" s="217" t="s">
        <v>77</v>
      </c>
      <c r="B197" s="200">
        <v>540</v>
      </c>
      <c r="C197" s="200"/>
      <c r="D197" s="200" t="s">
        <v>16</v>
      </c>
      <c r="E197" s="200" t="s">
        <v>43</v>
      </c>
      <c r="F197" s="202">
        <v>180814</v>
      </c>
      <c r="G197" s="202">
        <v>1110</v>
      </c>
      <c r="H197" s="379">
        <v>19431</v>
      </c>
      <c r="I197" s="379">
        <v>1247.4000000000001</v>
      </c>
      <c r="J197" s="201">
        <f t="shared" si="16"/>
        <v>179704</v>
      </c>
      <c r="K197" s="202">
        <f t="shared" si="17"/>
        <v>9.2483145489166798</v>
      </c>
      <c r="L197" s="315">
        <f t="shared" si="18"/>
        <v>6.138905173271981E-3</v>
      </c>
      <c r="M197" s="369">
        <f t="shared" si="19"/>
        <v>15.577200577200577</v>
      </c>
      <c r="N197" s="263"/>
    </row>
    <row r="198" spans="1:14" x14ac:dyDescent="0.25">
      <c r="A198" s="217" t="s">
        <v>77</v>
      </c>
      <c r="B198" s="200">
        <v>540</v>
      </c>
      <c r="C198" s="200"/>
      <c r="D198" s="200" t="s">
        <v>16</v>
      </c>
      <c r="E198" s="200" t="s">
        <v>44</v>
      </c>
      <c r="F198" s="202">
        <v>153275</v>
      </c>
      <c r="G198" s="202">
        <v>821</v>
      </c>
      <c r="H198" s="379">
        <v>15490</v>
      </c>
      <c r="I198" s="379">
        <v>1035.8000000000002</v>
      </c>
      <c r="J198" s="201">
        <f t="shared" si="16"/>
        <v>152454</v>
      </c>
      <c r="K198" s="202">
        <f t="shared" si="17"/>
        <v>9.8420916720464824</v>
      </c>
      <c r="L198" s="315">
        <f t="shared" si="18"/>
        <v>5.3563855814712123E-3</v>
      </c>
      <c r="M198" s="369">
        <f t="shared" si="19"/>
        <v>14.954624444873525</v>
      </c>
      <c r="N198" s="263"/>
    </row>
    <row r="199" spans="1:14" x14ac:dyDescent="0.25">
      <c r="A199" s="217" t="s">
        <v>77</v>
      </c>
      <c r="B199" s="200">
        <v>542</v>
      </c>
      <c r="C199" s="200"/>
      <c r="D199" s="200" t="s">
        <v>16</v>
      </c>
      <c r="E199" s="200" t="s">
        <v>23</v>
      </c>
      <c r="F199" s="202">
        <v>1197738</v>
      </c>
      <c r="G199" s="202">
        <v>2905</v>
      </c>
      <c r="H199" s="379">
        <v>60075</v>
      </c>
      <c r="I199" s="379">
        <v>5108.6000000000004</v>
      </c>
      <c r="J199" s="201">
        <f t="shared" ref="J199:J262" si="20">+F199-G199</f>
        <v>1194833</v>
      </c>
      <c r="K199" s="202">
        <f t="shared" ref="K199:K262" si="21">J199/H199</f>
        <v>19.889022055763629</v>
      </c>
      <c r="L199" s="315">
        <f t="shared" ref="L199:L262" si="22">G199/F199</f>
        <v>2.4254052221771372E-3</v>
      </c>
      <c r="M199" s="369">
        <f t="shared" ref="M199:M262" si="23">H199/I199</f>
        <v>11.7595818815331</v>
      </c>
      <c r="N199" s="263"/>
    </row>
    <row r="200" spans="1:14" x14ac:dyDescent="0.25">
      <c r="A200" s="217" t="s">
        <v>77</v>
      </c>
      <c r="B200" s="200">
        <v>546</v>
      </c>
      <c r="C200" s="200"/>
      <c r="D200" s="200" t="s">
        <v>16</v>
      </c>
      <c r="E200" s="200" t="s">
        <v>23</v>
      </c>
      <c r="F200" s="202">
        <v>527055</v>
      </c>
      <c r="G200" s="202">
        <v>48334</v>
      </c>
      <c r="H200" s="379">
        <v>39969</v>
      </c>
      <c r="I200" s="379">
        <v>4377.5999999999995</v>
      </c>
      <c r="J200" s="201">
        <f t="shared" si="20"/>
        <v>478721</v>
      </c>
      <c r="K200" s="202">
        <f t="shared" si="21"/>
        <v>11.977307413245265</v>
      </c>
      <c r="L200" s="315">
        <f t="shared" si="22"/>
        <v>9.170579920501655E-2</v>
      </c>
      <c r="M200" s="369">
        <f t="shared" si="23"/>
        <v>9.1303453947368425</v>
      </c>
      <c r="N200" s="263"/>
    </row>
    <row r="201" spans="1:14" x14ac:dyDescent="0.25">
      <c r="A201" s="217" t="s">
        <v>77</v>
      </c>
      <c r="B201" s="200">
        <v>546</v>
      </c>
      <c r="C201" s="200"/>
      <c r="D201" s="200" t="s">
        <v>16</v>
      </c>
      <c r="E201" s="200" t="s">
        <v>43</v>
      </c>
      <c r="F201" s="202">
        <v>85637</v>
      </c>
      <c r="G201" s="202">
        <v>6943</v>
      </c>
      <c r="H201" s="379">
        <v>6531</v>
      </c>
      <c r="I201" s="379">
        <v>748.84</v>
      </c>
      <c r="J201" s="201">
        <f t="shared" si="20"/>
        <v>78694</v>
      </c>
      <c r="K201" s="202">
        <f t="shared" si="21"/>
        <v>12.04930332261522</v>
      </c>
      <c r="L201" s="315">
        <f t="shared" si="22"/>
        <v>8.1074769083456913E-2</v>
      </c>
      <c r="M201" s="369">
        <f t="shared" si="23"/>
        <v>8.7214892366860735</v>
      </c>
      <c r="N201" s="263"/>
    </row>
    <row r="202" spans="1:14" x14ac:dyDescent="0.25">
      <c r="A202" s="217" t="s">
        <v>77</v>
      </c>
      <c r="B202" s="200">
        <v>546</v>
      </c>
      <c r="C202" s="200"/>
      <c r="D202" s="200" t="s">
        <v>16</v>
      </c>
      <c r="E202" s="200" t="s">
        <v>44</v>
      </c>
      <c r="F202" s="202">
        <v>82953</v>
      </c>
      <c r="G202" s="202">
        <v>4216</v>
      </c>
      <c r="H202" s="379">
        <v>5047</v>
      </c>
      <c r="I202" s="379">
        <v>720.26</v>
      </c>
      <c r="J202" s="201">
        <f t="shared" si="20"/>
        <v>78737</v>
      </c>
      <c r="K202" s="202">
        <f t="shared" si="21"/>
        <v>15.600752922528235</v>
      </c>
      <c r="L202" s="315">
        <f t="shared" si="22"/>
        <v>5.0823960555977481E-2</v>
      </c>
      <c r="M202" s="369">
        <f t="shared" si="23"/>
        <v>7.0071918473884436</v>
      </c>
      <c r="N202" s="263"/>
    </row>
    <row r="203" spans="1:14" x14ac:dyDescent="0.25">
      <c r="A203" s="217" t="s">
        <v>77</v>
      </c>
      <c r="B203" s="200">
        <v>612</v>
      </c>
      <c r="C203" s="200"/>
      <c r="D203" s="200" t="s">
        <v>16</v>
      </c>
      <c r="E203" s="200" t="s">
        <v>23</v>
      </c>
      <c r="F203" s="202">
        <v>1733197.6839999999</v>
      </c>
      <c r="G203" s="202">
        <v>72801.596309999994</v>
      </c>
      <c r="H203" s="379">
        <v>52008</v>
      </c>
      <c r="I203" s="379">
        <v>4901</v>
      </c>
      <c r="J203" s="201">
        <f t="shared" si="20"/>
        <v>1660396.08769</v>
      </c>
      <c r="K203" s="202">
        <f t="shared" si="21"/>
        <v>31.925782335217658</v>
      </c>
      <c r="L203" s="315">
        <f t="shared" si="22"/>
        <v>4.2004208165096993E-2</v>
      </c>
      <c r="M203" s="369">
        <f t="shared" si="23"/>
        <v>10.611711895531524</v>
      </c>
      <c r="N203" s="263"/>
    </row>
    <row r="204" spans="1:14" x14ac:dyDescent="0.25">
      <c r="A204" s="217" t="s">
        <v>77</v>
      </c>
      <c r="B204" s="200">
        <v>612</v>
      </c>
      <c r="C204" s="200"/>
      <c r="D204" s="200" t="s">
        <v>16</v>
      </c>
      <c r="E204" s="200" t="s">
        <v>43</v>
      </c>
      <c r="F204" s="202">
        <v>243307.5747</v>
      </c>
      <c r="G204" s="202">
        <v>8541.3390780000009</v>
      </c>
      <c r="H204" s="379">
        <v>7546</v>
      </c>
      <c r="I204" s="379">
        <v>797.41</v>
      </c>
      <c r="J204" s="201">
        <f t="shared" si="20"/>
        <v>234766.23562200001</v>
      </c>
      <c r="K204" s="202">
        <f t="shared" si="21"/>
        <v>31.111348478929234</v>
      </c>
      <c r="L204" s="315">
        <f t="shared" si="22"/>
        <v>3.510510960676639E-2</v>
      </c>
      <c r="M204" s="369">
        <f t="shared" si="23"/>
        <v>9.4631369057323091</v>
      </c>
      <c r="N204" s="263"/>
    </row>
    <row r="205" spans="1:14" x14ac:dyDescent="0.25">
      <c r="A205" s="217" t="s">
        <v>77</v>
      </c>
      <c r="B205" s="200">
        <v>612</v>
      </c>
      <c r="C205" s="200"/>
      <c r="D205" s="200" t="s">
        <v>16</v>
      </c>
      <c r="E205" s="200" t="s">
        <v>44</v>
      </c>
      <c r="F205" s="202">
        <v>171844.38870000001</v>
      </c>
      <c r="G205" s="202">
        <v>5908.0140380000003</v>
      </c>
      <c r="H205" s="379">
        <v>5196</v>
      </c>
      <c r="I205" s="379">
        <v>531.25</v>
      </c>
      <c r="J205" s="201">
        <f t="shared" si="20"/>
        <v>165936.37466200002</v>
      </c>
      <c r="K205" s="202">
        <f t="shared" si="21"/>
        <v>31.935406978829871</v>
      </c>
      <c r="L205" s="315">
        <f t="shared" si="22"/>
        <v>3.4380023012063589E-2</v>
      </c>
      <c r="M205" s="369">
        <f t="shared" si="23"/>
        <v>9.780705882352942</v>
      </c>
      <c r="N205" s="263"/>
    </row>
    <row r="206" spans="1:14" x14ac:dyDescent="0.25">
      <c r="A206" s="217" t="s">
        <v>77</v>
      </c>
      <c r="B206" s="200">
        <v>615</v>
      </c>
      <c r="C206" s="200"/>
      <c r="D206" s="200" t="s">
        <v>16</v>
      </c>
      <c r="E206" s="200" t="s">
        <v>23</v>
      </c>
      <c r="F206" s="202">
        <v>582331</v>
      </c>
      <c r="G206" s="202">
        <v>27684</v>
      </c>
      <c r="H206" s="379">
        <v>35640</v>
      </c>
      <c r="I206" s="379">
        <v>5495.2960000000003</v>
      </c>
      <c r="J206" s="201">
        <f t="shared" si="20"/>
        <v>554647</v>
      </c>
      <c r="K206" s="202">
        <f t="shared" si="21"/>
        <v>15.562485970819305</v>
      </c>
      <c r="L206" s="315">
        <f t="shared" si="22"/>
        <v>4.7539972970698792E-2</v>
      </c>
      <c r="M206" s="369">
        <f t="shared" si="23"/>
        <v>6.4855469113947635</v>
      </c>
      <c r="N206" s="263"/>
    </row>
    <row r="207" spans="1:14" x14ac:dyDescent="0.25">
      <c r="A207" s="217" t="s">
        <v>77</v>
      </c>
      <c r="B207" s="200">
        <v>615</v>
      </c>
      <c r="C207" s="200"/>
      <c r="D207" s="200" t="s">
        <v>16</v>
      </c>
      <c r="E207" s="200" t="s">
        <v>43</v>
      </c>
      <c r="F207" s="202">
        <v>118024</v>
      </c>
      <c r="G207" s="202">
        <v>4377</v>
      </c>
      <c r="H207" s="379">
        <v>5840</v>
      </c>
      <c r="I207" s="379">
        <v>1111</v>
      </c>
      <c r="J207" s="201">
        <f t="shared" si="20"/>
        <v>113647</v>
      </c>
      <c r="K207" s="202">
        <f t="shared" si="21"/>
        <v>19.460102739726029</v>
      </c>
      <c r="L207" s="315">
        <f t="shared" si="22"/>
        <v>3.7085677489324204E-2</v>
      </c>
      <c r="M207" s="369">
        <f t="shared" si="23"/>
        <v>5.2565256525652568</v>
      </c>
      <c r="N207" s="263"/>
    </row>
    <row r="208" spans="1:14" x14ac:dyDescent="0.25">
      <c r="A208" s="217" t="s">
        <v>77</v>
      </c>
      <c r="B208" s="200">
        <v>645</v>
      </c>
      <c r="C208" s="200"/>
      <c r="D208" s="200" t="s">
        <v>16</v>
      </c>
      <c r="E208" s="200" t="s">
        <v>23</v>
      </c>
      <c r="F208" s="202">
        <v>4282936.0860000001</v>
      </c>
      <c r="G208" s="202">
        <v>186143.1637</v>
      </c>
      <c r="H208" s="379">
        <v>160265</v>
      </c>
      <c r="I208" s="379">
        <v>12711.16</v>
      </c>
      <c r="J208" s="201">
        <f t="shared" si="20"/>
        <v>4096792.9223000002</v>
      </c>
      <c r="K208" s="202">
        <f t="shared" si="21"/>
        <v>25.562617678844415</v>
      </c>
      <c r="L208" s="315">
        <f t="shared" si="22"/>
        <v>4.3461578683945831E-2</v>
      </c>
      <c r="M208" s="369">
        <f t="shared" si="23"/>
        <v>12.608211996387427</v>
      </c>
      <c r="N208" s="263"/>
    </row>
    <row r="209" spans="1:14" x14ac:dyDescent="0.25">
      <c r="A209" s="217" t="s">
        <v>77</v>
      </c>
      <c r="B209" s="200">
        <v>645</v>
      </c>
      <c r="C209" s="200"/>
      <c r="D209" s="200" t="s">
        <v>16</v>
      </c>
      <c r="E209" s="200" t="s">
        <v>43</v>
      </c>
      <c r="F209" s="202">
        <v>399393.25550000003</v>
      </c>
      <c r="G209" s="202">
        <v>13066.518120000001</v>
      </c>
      <c r="H209" s="379">
        <v>13419</v>
      </c>
      <c r="I209" s="379">
        <v>1289.72</v>
      </c>
      <c r="J209" s="201">
        <f t="shared" si="20"/>
        <v>386326.73738000001</v>
      </c>
      <c r="K209" s="202">
        <f t="shared" si="21"/>
        <v>28.789532556822415</v>
      </c>
      <c r="L209" s="315">
        <f t="shared" si="22"/>
        <v>3.2715920812538608E-2</v>
      </c>
      <c r="M209" s="369">
        <f t="shared" si="23"/>
        <v>10.404583940700308</v>
      </c>
      <c r="N209" s="263"/>
    </row>
    <row r="210" spans="1:14" x14ac:dyDescent="0.25">
      <c r="A210" s="217" t="s">
        <v>77</v>
      </c>
      <c r="B210" s="200">
        <v>645</v>
      </c>
      <c r="C210" s="200"/>
      <c r="D210" s="200" t="s">
        <v>16</v>
      </c>
      <c r="E210" s="200" t="s">
        <v>44</v>
      </c>
      <c r="F210" s="202">
        <v>330868.41680000001</v>
      </c>
      <c r="G210" s="202">
        <v>11222.172560000001</v>
      </c>
      <c r="H210" s="379">
        <v>10621</v>
      </c>
      <c r="I210" s="379">
        <v>1044</v>
      </c>
      <c r="J210" s="201">
        <f t="shared" si="20"/>
        <v>319646.24424000003</v>
      </c>
      <c r="K210" s="202">
        <f t="shared" si="21"/>
        <v>30.095682538367388</v>
      </c>
      <c r="L210" s="315">
        <f t="shared" si="22"/>
        <v>3.3917327826377172E-2</v>
      </c>
      <c r="M210" s="369">
        <f t="shared" si="23"/>
        <v>10.173371647509578</v>
      </c>
      <c r="N210" s="263"/>
    </row>
    <row r="211" spans="1:14" x14ac:dyDescent="0.25">
      <c r="A211" s="217" t="s">
        <v>77</v>
      </c>
      <c r="B211" s="200">
        <v>705</v>
      </c>
      <c r="C211" s="200"/>
      <c r="D211" s="200" t="s">
        <v>16</v>
      </c>
      <c r="E211" s="200" t="s">
        <v>23</v>
      </c>
      <c r="F211" s="202">
        <v>858614</v>
      </c>
      <c r="G211" s="202">
        <v>30601</v>
      </c>
      <c r="H211" s="379">
        <v>54530</v>
      </c>
      <c r="I211" s="379">
        <v>5836.8</v>
      </c>
      <c r="J211" s="201">
        <f t="shared" si="20"/>
        <v>828013</v>
      </c>
      <c r="K211" s="202">
        <f t="shared" si="21"/>
        <v>15.184540619842288</v>
      </c>
      <c r="L211" s="315">
        <f t="shared" si="22"/>
        <v>3.5639996552583583E-2</v>
      </c>
      <c r="M211" s="369">
        <f t="shared" si="23"/>
        <v>9.3424479166666661</v>
      </c>
      <c r="N211" s="263"/>
    </row>
    <row r="212" spans="1:14" x14ac:dyDescent="0.25">
      <c r="A212" s="217" t="s">
        <v>77</v>
      </c>
      <c r="B212" s="200">
        <v>716</v>
      </c>
      <c r="C212" s="200"/>
      <c r="D212" s="200" t="s">
        <v>16</v>
      </c>
      <c r="E212" s="200" t="s">
        <v>23</v>
      </c>
      <c r="F212" s="202">
        <v>355369</v>
      </c>
      <c r="G212" s="202">
        <v>22332</v>
      </c>
      <c r="H212" s="379">
        <v>32764</v>
      </c>
      <c r="I212" s="379">
        <v>3029.248</v>
      </c>
      <c r="J212" s="201">
        <f t="shared" si="20"/>
        <v>333037</v>
      </c>
      <c r="K212" s="202">
        <f t="shared" si="21"/>
        <v>10.164723476986937</v>
      </c>
      <c r="L212" s="315">
        <f t="shared" si="22"/>
        <v>6.284172226615152E-2</v>
      </c>
      <c r="M212" s="369">
        <f t="shared" si="23"/>
        <v>10.81588565875095</v>
      </c>
      <c r="N212" s="263"/>
    </row>
    <row r="213" spans="1:14" x14ac:dyDescent="0.25">
      <c r="A213" s="217" t="s">
        <v>77</v>
      </c>
      <c r="B213" s="200">
        <v>716</v>
      </c>
      <c r="C213" s="200"/>
      <c r="D213" s="200" t="s">
        <v>16</v>
      </c>
      <c r="E213" s="200" t="s">
        <v>43</v>
      </c>
      <c r="F213" s="202">
        <v>69685</v>
      </c>
      <c r="G213" s="202">
        <v>3244</v>
      </c>
      <c r="H213" s="379">
        <v>8502</v>
      </c>
      <c r="I213" s="379">
        <v>608</v>
      </c>
      <c r="J213" s="201">
        <f t="shared" si="20"/>
        <v>66441</v>
      </c>
      <c r="K213" s="202">
        <f t="shared" si="21"/>
        <v>7.8147494707127736</v>
      </c>
      <c r="L213" s="315">
        <f t="shared" si="22"/>
        <v>4.6552342684939373E-2</v>
      </c>
      <c r="M213" s="369">
        <f t="shared" si="23"/>
        <v>13.983552631578947</v>
      </c>
      <c r="N213" s="263"/>
    </row>
    <row r="214" spans="1:14" x14ac:dyDescent="0.25">
      <c r="A214" s="217" t="s">
        <v>77</v>
      </c>
      <c r="B214" s="200">
        <v>716</v>
      </c>
      <c r="C214" s="200"/>
      <c r="D214" s="200" t="s">
        <v>16</v>
      </c>
      <c r="E214" s="200" t="s">
        <v>44</v>
      </c>
      <c r="F214" s="202">
        <v>79803</v>
      </c>
      <c r="G214" s="202">
        <v>856</v>
      </c>
      <c r="H214" s="379">
        <v>1327</v>
      </c>
      <c r="I214" s="379">
        <v>696</v>
      </c>
      <c r="J214" s="201">
        <f t="shared" si="20"/>
        <v>78947</v>
      </c>
      <c r="K214" s="202">
        <f t="shared" si="21"/>
        <v>59.492840994724943</v>
      </c>
      <c r="L214" s="315">
        <f t="shared" si="22"/>
        <v>1.0726413793967646E-2</v>
      </c>
      <c r="M214" s="369">
        <f t="shared" si="23"/>
        <v>1.9066091954022988</v>
      </c>
      <c r="N214" s="263"/>
    </row>
    <row r="215" spans="1:14" x14ac:dyDescent="0.25">
      <c r="A215" s="217" t="s">
        <v>77</v>
      </c>
      <c r="B215" s="200">
        <v>717</v>
      </c>
      <c r="C215" s="200"/>
      <c r="D215" s="200" t="s">
        <v>16</v>
      </c>
      <c r="E215" s="200" t="s">
        <v>23</v>
      </c>
      <c r="F215" s="202">
        <v>382864</v>
      </c>
      <c r="G215" s="202">
        <v>26978</v>
      </c>
      <c r="H215" s="379">
        <v>49951</v>
      </c>
      <c r="I215" s="379">
        <v>3507.2</v>
      </c>
      <c r="J215" s="201">
        <f t="shared" si="20"/>
        <v>355886</v>
      </c>
      <c r="K215" s="202">
        <f t="shared" si="21"/>
        <v>7.1247022081640008</v>
      </c>
      <c r="L215" s="315">
        <f t="shared" si="22"/>
        <v>7.0463663337373056E-2</v>
      </c>
      <c r="M215" s="369">
        <f t="shared" si="23"/>
        <v>14.242415602189782</v>
      </c>
      <c r="N215" s="263"/>
    </row>
    <row r="216" spans="1:14" x14ac:dyDescent="0.25">
      <c r="A216" s="217" t="s">
        <v>77</v>
      </c>
      <c r="B216" s="200">
        <v>721</v>
      </c>
      <c r="C216" s="200"/>
      <c r="D216" s="200" t="s">
        <v>16</v>
      </c>
      <c r="E216" s="200" t="s">
        <v>23</v>
      </c>
      <c r="F216" s="202">
        <v>2174066.7510000002</v>
      </c>
      <c r="G216" s="202">
        <v>111502.31200000001</v>
      </c>
      <c r="H216" s="379">
        <v>137546</v>
      </c>
      <c r="I216" s="379">
        <v>5889.9499999999798</v>
      </c>
      <c r="J216" s="201">
        <f t="shared" si="20"/>
        <v>2062564.4390000002</v>
      </c>
      <c r="K216" s="202">
        <f t="shared" si="21"/>
        <v>14.995451986971633</v>
      </c>
      <c r="L216" s="315">
        <f t="shared" si="22"/>
        <v>5.1287437218159267E-2</v>
      </c>
      <c r="M216" s="369">
        <f t="shared" si="23"/>
        <v>23.352660039558991</v>
      </c>
      <c r="N216" s="263"/>
    </row>
    <row r="217" spans="1:14" x14ac:dyDescent="0.25">
      <c r="A217" s="217" t="s">
        <v>77</v>
      </c>
      <c r="B217" s="200">
        <v>721</v>
      </c>
      <c r="C217" s="200"/>
      <c r="D217" s="200" t="s">
        <v>16</v>
      </c>
      <c r="E217" s="200" t="s">
        <v>43</v>
      </c>
      <c r="F217" s="202">
        <v>302616.36200000002</v>
      </c>
      <c r="G217" s="202">
        <v>12852.73014</v>
      </c>
      <c r="H217" s="379">
        <v>17186</v>
      </c>
      <c r="I217" s="379">
        <v>858</v>
      </c>
      <c r="J217" s="201">
        <f t="shared" si="20"/>
        <v>289763.63186000002</v>
      </c>
      <c r="K217" s="202">
        <f t="shared" si="21"/>
        <v>16.860446401722335</v>
      </c>
      <c r="L217" s="315">
        <f t="shared" si="22"/>
        <v>4.2472026479519961E-2</v>
      </c>
      <c r="M217" s="369">
        <f t="shared" si="23"/>
        <v>20.030303030303031</v>
      </c>
      <c r="N217" s="263"/>
    </row>
    <row r="218" spans="1:14" x14ac:dyDescent="0.25">
      <c r="A218" s="217" t="s">
        <v>77</v>
      </c>
      <c r="B218" s="200">
        <v>721</v>
      </c>
      <c r="C218" s="200"/>
      <c r="D218" s="200" t="s">
        <v>16</v>
      </c>
      <c r="E218" s="200" t="s">
        <v>44</v>
      </c>
      <c r="F218" s="202">
        <v>341022.54330000002</v>
      </c>
      <c r="G218" s="202">
        <v>11822.815000000001</v>
      </c>
      <c r="H218" s="379">
        <v>16654</v>
      </c>
      <c r="I218" s="379">
        <v>957</v>
      </c>
      <c r="J218" s="201">
        <f t="shared" si="20"/>
        <v>329199.72830000002</v>
      </c>
      <c r="K218" s="202">
        <f t="shared" si="21"/>
        <v>19.767006623033506</v>
      </c>
      <c r="L218" s="315">
        <f t="shared" si="22"/>
        <v>3.4668719802489374E-2</v>
      </c>
      <c r="M218" s="369">
        <f t="shared" si="23"/>
        <v>17.402298850574713</v>
      </c>
      <c r="N218" s="263"/>
    </row>
    <row r="219" spans="1:14" x14ac:dyDescent="0.25">
      <c r="A219" s="217" t="s">
        <v>77</v>
      </c>
      <c r="B219" s="200">
        <v>722</v>
      </c>
      <c r="C219" s="200"/>
      <c r="D219" s="200" t="s">
        <v>16</v>
      </c>
      <c r="E219" s="200" t="s">
        <v>23</v>
      </c>
      <c r="F219" s="202">
        <v>2160792.8689999999</v>
      </c>
      <c r="G219" s="202">
        <v>93673.072660000005</v>
      </c>
      <c r="H219" s="379">
        <v>158926</v>
      </c>
      <c r="I219" s="379">
        <v>5975.2799999999797</v>
      </c>
      <c r="J219" s="201">
        <f t="shared" si="20"/>
        <v>2067119.7963399999</v>
      </c>
      <c r="K219" s="202">
        <f t="shared" si="21"/>
        <v>13.006806918565873</v>
      </c>
      <c r="L219" s="315">
        <f t="shared" si="22"/>
        <v>4.3351250369199554E-2</v>
      </c>
      <c r="M219" s="369">
        <f t="shared" si="23"/>
        <v>26.597247325648429</v>
      </c>
      <c r="N219" s="263"/>
    </row>
    <row r="220" spans="1:14" x14ac:dyDescent="0.25">
      <c r="A220" s="217" t="s">
        <v>77</v>
      </c>
      <c r="B220" s="200">
        <v>722</v>
      </c>
      <c r="C220" s="200"/>
      <c r="D220" s="200" t="s">
        <v>16</v>
      </c>
      <c r="E220" s="200" t="s">
        <v>43</v>
      </c>
      <c r="F220" s="202">
        <v>447934.46769999998</v>
      </c>
      <c r="G220" s="202">
        <v>12386.129370000001</v>
      </c>
      <c r="H220" s="379">
        <v>23753</v>
      </c>
      <c r="I220" s="379">
        <v>1168.96</v>
      </c>
      <c r="J220" s="201">
        <f t="shared" si="20"/>
        <v>435548.33833</v>
      </c>
      <c r="K220" s="202">
        <f t="shared" si="21"/>
        <v>18.336561206163431</v>
      </c>
      <c r="L220" s="315">
        <f t="shared" si="22"/>
        <v>2.7651655014624812E-2</v>
      </c>
      <c r="M220" s="369">
        <f t="shared" si="23"/>
        <v>20.319771420750069</v>
      </c>
      <c r="N220" s="263"/>
    </row>
    <row r="221" spans="1:14" x14ac:dyDescent="0.25">
      <c r="A221" s="217" t="s">
        <v>77</v>
      </c>
      <c r="B221" s="200">
        <v>722</v>
      </c>
      <c r="C221" s="200"/>
      <c r="D221" s="200" t="s">
        <v>16</v>
      </c>
      <c r="E221" s="200" t="s">
        <v>44</v>
      </c>
      <c r="F221" s="202">
        <v>434615.23259999999</v>
      </c>
      <c r="G221" s="202">
        <v>10932.031720000001</v>
      </c>
      <c r="H221" s="379">
        <v>22252</v>
      </c>
      <c r="I221" s="379">
        <v>1219.1600000000001</v>
      </c>
      <c r="J221" s="201">
        <f t="shared" si="20"/>
        <v>423683.20087999996</v>
      </c>
      <c r="K221" s="202">
        <f t="shared" si="21"/>
        <v>19.040230131224156</v>
      </c>
      <c r="L221" s="315">
        <f t="shared" si="22"/>
        <v>2.5153356118241127E-2</v>
      </c>
      <c r="M221" s="369">
        <f t="shared" si="23"/>
        <v>18.251911151940678</v>
      </c>
      <c r="N221" s="263"/>
    </row>
    <row r="222" spans="1:14" x14ac:dyDescent="0.25">
      <c r="A222" s="217" t="s">
        <v>77</v>
      </c>
      <c r="B222" s="200">
        <v>723</v>
      </c>
      <c r="C222" s="200"/>
      <c r="D222" s="200" t="s">
        <v>16</v>
      </c>
      <c r="E222" s="200" t="s">
        <v>23</v>
      </c>
      <c r="F222" s="202">
        <v>2177957.4959999998</v>
      </c>
      <c r="G222" s="202">
        <v>82780.065740000005</v>
      </c>
      <c r="H222" s="379">
        <v>116602</v>
      </c>
      <c r="I222" s="379">
        <v>5733.54000000001</v>
      </c>
      <c r="J222" s="201">
        <f t="shared" si="20"/>
        <v>2095177.4302599998</v>
      </c>
      <c r="K222" s="202">
        <f t="shared" si="21"/>
        <v>17.968623439220593</v>
      </c>
      <c r="L222" s="315">
        <f t="shared" si="22"/>
        <v>3.8008118107002768E-2</v>
      </c>
      <c r="M222" s="369">
        <f t="shared" si="23"/>
        <v>20.336825067933564</v>
      </c>
      <c r="N222" s="263"/>
    </row>
    <row r="223" spans="1:14" x14ac:dyDescent="0.25">
      <c r="A223" s="217" t="s">
        <v>77</v>
      </c>
      <c r="B223" s="200">
        <v>723</v>
      </c>
      <c r="C223" s="200"/>
      <c r="D223" s="200" t="s">
        <v>16</v>
      </c>
      <c r="E223" s="200" t="s">
        <v>43</v>
      </c>
      <c r="F223" s="202">
        <v>151228.21780000001</v>
      </c>
      <c r="G223" s="202">
        <v>5110.5509140000004</v>
      </c>
      <c r="H223" s="379">
        <v>8183</v>
      </c>
      <c r="I223" s="379">
        <v>409.24</v>
      </c>
      <c r="J223" s="201">
        <f t="shared" si="20"/>
        <v>146117.66688600002</v>
      </c>
      <c r="K223" s="202">
        <f t="shared" si="21"/>
        <v>17.856246717096422</v>
      </c>
      <c r="L223" s="315">
        <f t="shared" si="22"/>
        <v>3.3793633148270823E-2</v>
      </c>
      <c r="M223" s="369">
        <f t="shared" si="23"/>
        <v>19.995601602971362</v>
      </c>
      <c r="N223" s="263"/>
    </row>
    <row r="224" spans="1:14" x14ac:dyDescent="0.25">
      <c r="A224" s="217" t="s">
        <v>77</v>
      </c>
      <c r="B224" s="200">
        <v>723</v>
      </c>
      <c r="C224" s="200"/>
      <c r="D224" s="200" t="s">
        <v>16</v>
      </c>
      <c r="E224" s="200" t="s">
        <v>44</v>
      </c>
      <c r="F224" s="202">
        <v>152003.9797</v>
      </c>
      <c r="G224" s="202">
        <v>4518.3921259999997</v>
      </c>
      <c r="H224" s="379">
        <v>7838</v>
      </c>
      <c r="I224" s="379">
        <v>412.96</v>
      </c>
      <c r="J224" s="201">
        <f t="shared" si="20"/>
        <v>147485.587574</v>
      </c>
      <c r="K224" s="202">
        <f t="shared" si="21"/>
        <v>18.816737378668027</v>
      </c>
      <c r="L224" s="315">
        <f t="shared" si="22"/>
        <v>2.9725485707135072E-2</v>
      </c>
      <c r="M224" s="369">
        <f t="shared" si="23"/>
        <v>18.98004649360713</v>
      </c>
      <c r="N224" s="263"/>
    </row>
    <row r="225" spans="1:14" x14ac:dyDescent="0.25">
      <c r="A225" s="217" t="s">
        <v>77</v>
      </c>
      <c r="B225" s="200">
        <v>724</v>
      </c>
      <c r="C225" s="200"/>
      <c r="D225" s="200" t="s">
        <v>16</v>
      </c>
      <c r="E225" s="200" t="s">
        <v>23</v>
      </c>
      <c r="F225" s="202">
        <v>5233936.6289999997</v>
      </c>
      <c r="G225" s="202">
        <v>243667.4026</v>
      </c>
      <c r="H225" s="379">
        <v>357193</v>
      </c>
      <c r="I225" s="379">
        <v>12397.57</v>
      </c>
      <c r="J225" s="201">
        <f t="shared" si="20"/>
        <v>4990269.2264</v>
      </c>
      <c r="K225" s="202">
        <f t="shared" si="21"/>
        <v>13.970792334676212</v>
      </c>
      <c r="L225" s="315">
        <f t="shared" si="22"/>
        <v>4.6555283311971486E-2</v>
      </c>
      <c r="M225" s="369">
        <f t="shared" si="23"/>
        <v>28.81153322788256</v>
      </c>
      <c r="N225" s="263"/>
    </row>
    <row r="226" spans="1:14" x14ac:dyDescent="0.25">
      <c r="A226" s="217" t="s">
        <v>77</v>
      </c>
      <c r="B226" s="200">
        <v>724</v>
      </c>
      <c r="C226" s="200"/>
      <c r="D226" s="200" t="s">
        <v>16</v>
      </c>
      <c r="E226" s="200" t="s">
        <v>43</v>
      </c>
      <c r="F226" s="202">
        <v>841410.45010000002</v>
      </c>
      <c r="G226" s="202">
        <v>34572.571519999998</v>
      </c>
      <c r="H226" s="379">
        <v>55570</v>
      </c>
      <c r="I226" s="379">
        <v>1988.7</v>
      </c>
      <c r="J226" s="201">
        <f t="shared" si="20"/>
        <v>806837.87858000002</v>
      </c>
      <c r="K226" s="202">
        <f t="shared" si="21"/>
        <v>14.519306794673385</v>
      </c>
      <c r="L226" s="315">
        <f t="shared" si="22"/>
        <v>4.1088830684110372E-2</v>
      </c>
      <c r="M226" s="369">
        <f t="shared" si="23"/>
        <v>27.942877256499219</v>
      </c>
      <c r="N226" s="263"/>
    </row>
    <row r="227" spans="1:14" x14ac:dyDescent="0.25">
      <c r="A227" s="217" t="s">
        <v>77</v>
      </c>
      <c r="B227" s="200">
        <v>724</v>
      </c>
      <c r="C227" s="200"/>
      <c r="D227" s="200" t="s">
        <v>16</v>
      </c>
      <c r="E227" s="200" t="s">
        <v>44</v>
      </c>
      <c r="F227" s="202">
        <v>916038.74470000004</v>
      </c>
      <c r="G227" s="202">
        <v>31620.26123</v>
      </c>
      <c r="H227" s="379">
        <v>55705</v>
      </c>
      <c r="I227" s="379">
        <v>2117.54</v>
      </c>
      <c r="J227" s="201">
        <f t="shared" si="20"/>
        <v>884418.48347000009</v>
      </c>
      <c r="K227" s="202">
        <f t="shared" si="21"/>
        <v>15.876824045776862</v>
      </c>
      <c r="L227" s="315">
        <f t="shared" si="22"/>
        <v>3.4518475788221752E-2</v>
      </c>
      <c r="M227" s="369">
        <f t="shared" si="23"/>
        <v>26.306468827035147</v>
      </c>
      <c r="N227" s="263"/>
    </row>
    <row r="228" spans="1:14" x14ac:dyDescent="0.25">
      <c r="A228" s="217" t="s">
        <v>77</v>
      </c>
      <c r="B228" s="200">
        <v>801</v>
      </c>
      <c r="C228" s="200"/>
      <c r="D228" s="200" t="s">
        <v>16</v>
      </c>
      <c r="E228" s="200" t="s">
        <v>23</v>
      </c>
      <c r="F228" s="202">
        <v>625625</v>
      </c>
      <c r="G228" s="202">
        <v>66211</v>
      </c>
      <c r="H228" s="379">
        <v>79043</v>
      </c>
      <c r="I228" s="379">
        <v>5306.88</v>
      </c>
      <c r="J228" s="201">
        <f t="shared" si="20"/>
        <v>559414</v>
      </c>
      <c r="K228" s="202">
        <f t="shared" si="21"/>
        <v>7.0773376516579587</v>
      </c>
      <c r="L228" s="315">
        <f t="shared" si="22"/>
        <v>0.10583176823176824</v>
      </c>
      <c r="M228" s="369">
        <f t="shared" si="23"/>
        <v>14.894438917028461</v>
      </c>
      <c r="N228" s="263"/>
    </row>
    <row r="229" spans="1:14" x14ac:dyDescent="0.25">
      <c r="A229" s="217" t="s">
        <v>77</v>
      </c>
      <c r="B229" s="200">
        <v>804</v>
      </c>
      <c r="C229" s="200"/>
      <c r="D229" s="200" t="s">
        <v>16</v>
      </c>
      <c r="E229" s="200" t="s">
        <v>23</v>
      </c>
      <c r="F229" s="202">
        <v>905868</v>
      </c>
      <c r="G229" s="202">
        <v>37243</v>
      </c>
      <c r="H229" s="379">
        <v>53806</v>
      </c>
      <c r="I229" s="379">
        <v>7040</v>
      </c>
      <c r="J229" s="201">
        <f t="shared" si="20"/>
        <v>868625</v>
      </c>
      <c r="K229" s="202">
        <f t="shared" si="21"/>
        <v>16.14364569007174</v>
      </c>
      <c r="L229" s="315">
        <f t="shared" si="22"/>
        <v>4.1113053999037384E-2</v>
      </c>
      <c r="M229" s="369">
        <f t="shared" si="23"/>
        <v>7.642897727272727</v>
      </c>
      <c r="N229" s="263"/>
    </row>
    <row r="230" spans="1:14" x14ac:dyDescent="0.25">
      <c r="A230" s="217" t="s">
        <v>77</v>
      </c>
      <c r="B230" s="200">
        <v>804</v>
      </c>
      <c r="C230" s="200"/>
      <c r="D230" s="200" t="s">
        <v>16</v>
      </c>
      <c r="E230" s="200" t="s">
        <v>43</v>
      </c>
      <c r="F230" s="202">
        <v>125451</v>
      </c>
      <c r="G230" s="202">
        <v>3454</v>
      </c>
      <c r="H230" s="379">
        <v>5694</v>
      </c>
      <c r="I230" s="379">
        <v>971.5</v>
      </c>
      <c r="J230" s="201">
        <f t="shared" si="20"/>
        <v>121997</v>
      </c>
      <c r="K230" s="202">
        <f t="shared" si="21"/>
        <v>21.425535651563049</v>
      </c>
      <c r="L230" s="315">
        <f t="shared" si="22"/>
        <v>2.7532662154944959E-2</v>
      </c>
      <c r="M230" s="369">
        <f t="shared" si="23"/>
        <v>5.8610396294390119</v>
      </c>
      <c r="N230" s="263"/>
    </row>
    <row r="231" spans="1:14" x14ac:dyDescent="0.25">
      <c r="A231" s="217" t="s">
        <v>77</v>
      </c>
      <c r="B231" s="200">
        <v>805</v>
      </c>
      <c r="C231" s="200"/>
      <c r="D231" s="200" t="s">
        <v>16</v>
      </c>
      <c r="E231" s="200" t="s">
        <v>23</v>
      </c>
      <c r="F231" s="202">
        <v>606149</v>
      </c>
      <c r="G231" s="202">
        <v>43995</v>
      </c>
      <c r="H231" s="379">
        <v>53823</v>
      </c>
      <c r="I231" s="379">
        <v>5637.12</v>
      </c>
      <c r="J231" s="201">
        <f t="shared" si="20"/>
        <v>562154</v>
      </c>
      <c r="K231" s="202">
        <f t="shared" si="21"/>
        <v>10.444493989558367</v>
      </c>
      <c r="L231" s="315">
        <f t="shared" si="22"/>
        <v>7.2581164037225171E-2</v>
      </c>
      <c r="M231" s="369">
        <f t="shared" si="23"/>
        <v>9.5479606607629428</v>
      </c>
      <c r="N231" s="263"/>
    </row>
    <row r="232" spans="1:14" x14ac:dyDescent="0.25">
      <c r="A232" s="217" t="s">
        <v>77</v>
      </c>
      <c r="B232" s="200">
        <v>805</v>
      </c>
      <c r="C232" s="200"/>
      <c r="D232" s="200" t="s">
        <v>16</v>
      </c>
      <c r="E232" s="200" t="s">
        <v>43</v>
      </c>
      <c r="F232" s="202">
        <v>97770</v>
      </c>
      <c r="G232" s="202">
        <v>4602</v>
      </c>
      <c r="H232" s="379">
        <v>7022</v>
      </c>
      <c r="I232" s="379">
        <v>934.2</v>
      </c>
      <c r="J232" s="201">
        <f t="shared" si="20"/>
        <v>93168</v>
      </c>
      <c r="K232" s="202">
        <f t="shared" si="21"/>
        <v>13.268014810595272</v>
      </c>
      <c r="L232" s="315">
        <f t="shared" si="22"/>
        <v>4.706965326787358E-2</v>
      </c>
      <c r="M232" s="369">
        <f t="shared" si="23"/>
        <v>7.5165917362449148</v>
      </c>
      <c r="N232" s="263"/>
    </row>
    <row r="233" spans="1:14" x14ac:dyDescent="0.25">
      <c r="A233" s="217" t="s">
        <v>77</v>
      </c>
      <c r="B233" s="200">
        <v>921</v>
      </c>
      <c r="C233" s="200" t="s">
        <v>53</v>
      </c>
      <c r="D233" s="200" t="s">
        <v>65</v>
      </c>
      <c r="E233" s="200" t="s">
        <v>43</v>
      </c>
      <c r="F233" s="202">
        <v>1789427.294</v>
      </c>
      <c r="G233" s="202">
        <v>78824.987989999994</v>
      </c>
      <c r="H233" s="379">
        <v>197279</v>
      </c>
      <c r="I233" s="379">
        <v>4405.87</v>
      </c>
      <c r="J233" s="201">
        <f t="shared" si="20"/>
        <v>1710602.3060099999</v>
      </c>
      <c r="K233" s="202">
        <f t="shared" si="21"/>
        <v>8.6709802158871447</v>
      </c>
      <c r="L233" s="315">
        <f t="shared" si="22"/>
        <v>4.4050399954388982E-2</v>
      </c>
      <c r="M233" s="369">
        <f t="shared" si="23"/>
        <v>44.776400574687862</v>
      </c>
      <c r="N233" s="263"/>
    </row>
    <row r="234" spans="1:14" x14ac:dyDescent="0.25">
      <c r="A234" s="217" t="s">
        <v>77</v>
      </c>
      <c r="B234" s="200">
        <v>921</v>
      </c>
      <c r="C234" s="200" t="s">
        <v>53</v>
      </c>
      <c r="D234" s="200" t="s">
        <v>65</v>
      </c>
      <c r="E234" s="200" t="s">
        <v>44</v>
      </c>
      <c r="F234" s="202">
        <v>1918635.808</v>
      </c>
      <c r="G234" s="202">
        <v>68871.969509999995</v>
      </c>
      <c r="H234" s="379">
        <v>190017</v>
      </c>
      <c r="I234" s="379">
        <v>4635</v>
      </c>
      <c r="J234" s="201">
        <f t="shared" si="20"/>
        <v>1849763.83849</v>
      </c>
      <c r="K234" s="202">
        <f t="shared" si="21"/>
        <v>9.7347281479551828</v>
      </c>
      <c r="L234" s="315">
        <f t="shared" si="22"/>
        <v>3.5896322388454034E-2</v>
      </c>
      <c r="M234" s="369">
        <f t="shared" si="23"/>
        <v>40.996116504854371</v>
      </c>
      <c r="N234" s="263"/>
    </row>
    <row r="235" spans="1:14" x14ac:dyDescent="0.25">
      <c r="A235" s="217" t="s">
        <v>77</v>
      </c>
      <c r="B235" s="200">
        <v>921</v>
      </c>
      <c r="C235" s="200" t="s">
        <v>53</v>
      </c>
      <c r="D235" s="200" t="s">
        <v>65</v>
      </c>
      <c r="E235" s="200" t="s">
        <v>23</v>
      </c>
      <c r="F235" s="202">
        <v>9624584.2709999997</v>
      </c>
      <c r="G235" s="202">
        <v>419567.40710000001</v>
      </c>
      <c r="H235" s="379">
        <v>1043202</v>
      </c>
      <c r="I235" s="379">
        <v>24382.709999999901</v>
      </c>
      <c r="J235" s="201">
        <f t="shared" si="20"/>
        <v>9205016.8639000002</v>
      </c>
      <c r="K235" s="202">
        <f t="shared" si="21"/>
        <v>8.8238105984267676</v>
      </c>
      <c r="L235" s="315">
        <f t="shared" si="22"/>
        <v>4.3593301828548148E-2</v>
      </c>
      <c r="M235" s="369">
        <f t="shared" si="23"/>
        <v>42.784497703495809</v>
      </c>
      <c r="N235" s="263"/>
    </row>
    <row r="236" spans="1:14" x14ac:dyDescent="0.25">
      <c r="A236" s="217" t="s">
        <v>77</v>
      </c>
      <c r="B236" s="200">
        <v>923</v>
      </c>
      <c r="C236" s="200" t="s">
        <v>54</v>
      </c>
      <c r="D236" s="200" t="s">
        <v>65</v>
      </c>
      <c r="E236" s="200" t="s">
        <v>43</v>
      </c>
      <c r="F236" s="202">
        <v>1956435.702</v>
      </c>
      <c r="G236" s="202">
        <v>33697.058819999998</v>
      </c>
      <c r="H236" s="379">
        <v>212361</v>
      </c>
      <c r="I236" s="379">
        <v>5155.8</v>
      </c>
      <c r="J236" s="201">
        <f t="shared" si="20"/>
        <v>1922738.6431800001</v>
      </c>
      <c r="K236" s="202">
        <f t="shared" si="21"/>
        <v>9.0541042996595422</v>
      </c>
      <c r="L236" s="315">
        <f t="shared" si="22"/>
        <v>1.7223698578773941E-2</v>
      </c>
      <c r="M236" s="369">
        <f t="shared" si="23"/>
        <v>41.188758291632723</v>
      </c>
      <c r="N236" s="263"/>
    </row>
    <row r="237" spans="1:14" x14ac:dyDescent="0.25">
      <c r="A237" s="217" t="s">
        <v>77</v>
      </c>
      <c r="B237" s="200">
        <v>923</v>
      </c>
      <c r="C237" s="200" t="s">
        <v>54</v>
      </c>
      <c r="D237" s="200" t="s">
        <v>65</v>
      </c>
      <c r="E237" s="200" t="s">
        <v>44</v>
      </c>
      <c r="F237" s="202">
        <v>2123599.2629999998</v>
      </c>
      <c r="G237" s="202">
        <v>30681.969519999999</v>
      </c>
      <c r="H237" s="379">
        <v>204974</v>
      </c>
      <c r="I237" s="379">
        <v>5583.6600000000099</v>
      </c>
      <c r="J237" s="201">
        <f t="shared" si="20"/>
        <v>2092917.2934799998</v>
      </c>
      <c r="K237" s="202">
        <f t="shared" si="21"/>
        <v>10.210647660093475</v>
      </c>
      <c r="L237" s="315">
        <f t="shared" si="22"/>
        <v>1.4448097649391584E-2</v>
      </c>
      <c r="M237" s="369">
        <f t="shared" si="23"/>
        <v>36.709613407693098</v>
      </c>
      <c r="N237" s="263"/>
    </row>
    <row r="238" spans="1:14" x14ac:dyDescent="0.25">
      <c r="A238" s="217" t="s">
        <v>77</v>
      </c>
      <c r="B238" s="200">
        <v>923</v>
      </c>
      <c r="C238" s="200" t="s">
        <v>54</v>
      </c>
      <c r="D238" s="200" t="s">
        <v>65</v>
      </c>
      <c r="E238" s="200" t="s">
        <v>23</v>
      </c>
      <c r="F238" s="202">
        <v>10363792.27</v>
      </c>
      <c r="G238" s="202">
        <v>256350.45980000001</v>
      </c>
      <c r="H238" s="379">
        <v>1469599</v>
      </c>
      <c r="I238" s="379">
        <v>29108.610000000099</v>
      </c>
      <c r="J238" s="201">
        <f t="shared" si="20"/>
        <v>10107441.8102</v>
      </c>
      <c r="K238" s="202">
        <f t="shared" si="21"/>
        <v>6.8776869133688852</v>
      </c>
      <c r="L238" s="315">
        <f t="shared" si="22"/>
        <v>2.4735198576109632E-2</v>
      </c>
      <c r="M238" s="369">
        <f t="shared" si="23"/>
        <v>50.486746017758833</v>
      </c>
      <c r="N238" s="263"/>
    </row>
    <row r="239" spans="1:14" x14ac:dyDescent="0.25">
      <c r="A239" s="217" t="s">
        <v>77</v>
      </c>
      <c r="B239" s="200">
        <v>924</v>
      </c>
      <c r="C239" s="200" t="s">
        <v>55</v>
      </c>
      <c r="D239" s="200" t="s">
        <v>65</v>
      </c>
      <c r="E239" s="200" t="s">
        <v>43</v>
      </c>
      <c r="F239" s="202">
        <v>3852614.9939999999</v>
      </c>
      <c r="G239" s="202">
        <v>107696.5465</v>
      </c>
      <c r="H239" s="379">
        <v>569466</v>
      </c>
      <c r="I239" s="379">
        <v>12020.6</v>
      </c>
      <c r="J239" s="201">
        <f t="shared" si="20"/>
        <v>3744918.4474999998</v>
      </c>
      <c r="K239" s="202">
        <f t="shared" si="21"/>
        <v>6.5761932187347441</v>
      </c>
      <c r="L239" s="315">
        <f t="shared" si="22"/>
        <v>2.7954141970512197E-2</v>
      </c>
      <c r="M239" s="369">
        <f t="shared" si="23"/>
        <v>47.374174334059866</v>
      </c>
      <c r="N239" s="263"/>
    </row>
    <row r="240" spans="1:14" x14ac:dyDescent="0.25">
      <c r="A240" s="217" t="s">
        <v>77</v>
      </c>
      <c r="B240" s="200">
        <v>924</v>
      </c>
      <c r="C240" s="200" t="s">
        <v>55</v>
      </c>
      <c r="D240" s="200" t="s">
        <v>65</v>
      </c>
      <c r="E240" s="200" t="s">
        <v>44</v>
      </c>
      <c r="F240" s="202">
        <v>4140730.5759999999</v>
      </c>
      <c r="G240" s="202">
        <v>97936.955279999995</v>
      </c>
      <c r="H240" s="379">
        <v>557424</v>
      </c>
      <c r="I240" s="379">
        <v>12683.14</v>
      </c>
      <c r="J240" s="201">
        <f t="shared" si="20"/>
        <v>4042793.62072</v>
      </c>
      <c r="K240" s="202">
        <f t="shared" si="21"/>
        <v>7.2526364503860616</v>
      </c>
      <c r="L240" s="315">
        <f t="shared" si="22"/>
        <v>2.3652095561988575E-2</v>
      </c>
      <c r="M240" s="369">
        <f t="shared" si="23"/>
        <v>43.949999763465513</v>
      </c>
      <c r="N240" s="263"/>
    </row>
    <row r="241" spans="1:14" x14ac:dyDescent="0.25">
      <c r="A241" s="217" t="s">
        <v>77</v>
      </c>
      <c r="B241" s="200">
        <v>924</v>
      </c>
      <c r="C241" s="200" t="s">
        <v>55</v>
      </c>
      <c r="D241" s="200" t="s">
        <v>65</v>
      </c>
      <c r="E241" s="200" t="s">
        <v>23</v>
      </c>
      <c r="F241" s="202">
        <v>20733981.59</v>
      </c>
      <c r="G241" s="202">
        <v>714515.08200000005</v>
      </c>
      <c r="H241" s="379">
        <v>3489156</v>
      </c>
      <c r="I241" s="379">
        <v>62493.08</v>
      </c>
      <c r="J241" s="201">
        <f t="shared" si="20"/>
        <v>20019466.508000001</v>
      </c>
      <c r="K241" s="202">
        <f t="shared" si="21"/>
        <v>5.7376243733441559</v>
      </c>
      <c r="L241" s="315">
        <f t="shared" si="22"/>
        <v>3.446106474525909E-2</v>
      </c>
      <c r="M241" s="369">
        <f t="shared" si="23"/>
        <v>55.832677794085356</v>
      </c>
      <c r="N241" s="263"/>
    </row>
    <row r="242" spans="1:14" x14ac:dyDescent="0.25">
      <c r="A242" s="217" t="s">
        <v>77</v>
      </c>
      <c r="B242" s="200">
        <v>903</v>
      </c>
      <c r="C242" s="200" t="s">
        <v>52</v>
      </c>
      <c r="D242" s="200" t="s">
        <v>66</v>
      </c>
      <c r="E242" s="200" t="s">
        <v>43</v>
      </c>
      <c r="F242" s="202">
        <v>374151.58032377157</v>
      </c>
      <c r="G242" s="202">
        <v>8525.3291274000003</v>
      </c>
      <c r="H242" s="379">
        <v>24013</v>
      </c>
      <c r="I242" s="379">
        <v>1253.2800000000002</v>
      </c>
      <c r="J242" s="201">
        <f t="shared" si="20"/>
        <v>365626.25119637157</v>
      </c>
      <c r="K242" s="202">
        <f t="shared" si="21"/>
        <v>15.226179619221737</v>
      </c>
      <c r="L242" s="315">
        <f t="shared" si="22"/>
        <v>2.2785762711526217E-2</v>
      </c>
      <c r="M242" s="369">
        <f t="shared" si="23"/>
        <v>19.160123835056808</v>
      </c>
      <c r="N242" s="263"/>
    </row>
    <row r="243" spans="1:14" x14ac:dyDescent="0.25">
      <c r="A243" s="217" t="s">
        <v>77</v>
      </c>
      <c r="B243" s="200">
        <v>903</v>
      </c>
      <c r="C243" s="200" t="s">
        <v>52</v>
      </c>
      <c r="D243" s="200" t="s">
        <v>66</v>
      </c>
      <c r="E243" s="200" t="s">
        <v>44</v>
      </c>
      <c r="F243" s="202">
        <v>410434.23548329499</v>
      </c>
      <c r="G243" s="202">
        <v>7667.5095076999996</v>
      </c>
      <c r="H243" s="379">
        <v>21714</v>
      </c>
      <c r="I243" s="379">
        <v>1354.95</v>
      </c>
      <c r="J243" s="201">
        <f t="shared" si="20"/>
        <v>402766.72597559501</v>
      </c>
      <c r="K243" s="202">
        <f t="shared" si="21"/>
        <v>18.548711705609055</v>
      </c>
      <c r="L243" s="315">
        <f t="shared" si="22"/>
        <v>1.8681456966355023E-2</v>
      </c>
      <c r="M243" s="369">
        <f t="shared" si="23"/>
        <v>16.025683604561053</v>
      </c>
      <c r="N243" s="263"/>
    </row>
    <row r="244" spans="1:14" x14ac:dyDescent="0.25">
      <c r="A244" s="217" t="s">
        <v>77</v>
      </c>
      <c r="B244" s="200">
        <v>903</v>
      </c>
      <c r="C244" s="200" t="s">
        <v>52</v>
      </c>
      <c r="D244" s="200" t="s">
        <v>66</v>
      </c>
      <c r="E244" s="200" t="s">
        <v>23</v>
      </c>
      <c r="F244" s="202">
        <v>1912769.5486858799</v>
      </c>
      <c r="G244" s="202">
        <v>43915.203661</v>
      </c>
      <c r="H244" s="379">
        <v>124450</v>
      </c>
      <c r="I244" s="379">
        <v>6944.5000000000009</v>
      </c>
      <c r="J244" s="201">
        <f t="shared" si="20"/>
        <v>1868854.34502488</v>
      </c>
      <c r="K244" s="202">
        <f t="shared" si="21"/>
        <v>15.016909160505262</v>
      </c>
      <c r="L244" s="315">
        <f t="shared" si="22"/>
        <v>2.2958962145320033E-2</v>
      </c>
      <c r="M244" s="369">
        <f t="shared" si="23"/>
        <v>17.920656634746919</v>
      </c>
      <c r="N244" s="263"/>
    </row>
    <row r="245" spans="1:14" x14ac:dyDescent="0.25">
      <c r="A245" s="217" t="s">
        <v>77</v>
      </c>
      <c r="B245" s="200">
        <v>904</v>
      </c>
      <c r="C245" s="200" t="s">
        <v>51</v>
      </c>
      <c r="D245" s="200" t="s">
        <v>66</v>
      </c>
      <c r="E245" s="200" t="s">
        <v>43</v>
      </c>
      <c r="F245" s="202">
        <v>1761643.0830000001</v>
      </c>
      <c r="G245" s="202">
        <v>20006.144029999999</v>
      </c>
      <c r="H245" s="379">
        <v>65405</v>
      </c>
      <c r="I245" s="379">
        <v>4725.76</v>
      </c>
      <c r="J245" s="201">
        <f t="shared" si="20"/>
        <v>1741636.93897</v>
      </c>
      <c r="K245" s="202">
        <f t="shared" si="21"/>
        <v>26.628498417093496</v>
      </c>
      <c r="L245" s="315">
        <f t="shared" si="22"/>
        <v>1.1356525179851086E-2</v>
      </c>
      <c r="M245" s="369">
        <f t="shared" si="23"/>
        <v>13.840101909534127</v>
      </c>
      <c r="N245" s="263"/>
    </row>
    <row r="246" spans="1:14" x14ac:dyDescent="0.25">
      <c r="A246" s="217" t="s">
        <v>77</v>
      </c>
      <c r="B246" s="200">
        <v>904</v>
      </c>
      <c r="C246" s="200" t="s">
        <v>51</v>
      </c>
      <c r="D246" s="200" t="s">
        <v>66</v>
      </c>
      <c r="E246" s="200" t="s">
        <v>44</v>
      </c>
      <c r="F246" s="202">
        <v>1984212.7520000001</v>
      </c>
      <c r="G246" s="202">
        <v>17919.166069999999</v>
      </c>
      <c r="H246" s="379">
        <v>65817</v>
      </c>
      <c r="I246" s="379">
        <v>5271.04</v>
      </c>
      <c r="J246" s="201">
        <f t="shared" si="20"/>
        <v>1966293.5859300001</v>
      </c>
      <c r="K246" s="202">
        <f t="shared" si="21"/>
        <v>29.875162738046402</v>
      </c>
      <c r="L246" s="315">
        <f t="shared" si="22"/>
        <v>9.0308693218195783E-3</v>
      </c>
      <c r="M246" s="369">
        <f t="shared" si="23"/>
        <v>12.486530172413794</v>
      </c>
      <c r="N246" s="263"/>
    </row>
    <row r="247" spans="1:14" x14ac:dyDescent="0.25">
      <c r="A247" s="217" t="s">
        <v>77</v>
      </c>
      <c r="B247" s="200">
        <v>904</v>
      </c>
      <c r="C247" s="200" t="s">
        <v>51</v>
      </c>
      <c r="D247" s="200" t="s">
        <v>66</v>
      </c>
      <c r="E247" s="200" t="s">
        <v>23</v>
      </c>
      <c r="F247" s="202">
        <v>10302645.52</v>
      </c>
      <c r="G247" s="202">
        <v>261477.978</v>
      </c>
      <c r="H247" s="379">
        <v>522582</v>
      </c>
      <c r="I247" s="379">
        <v>27994.050000000101</v>
      </c>
      <c r="J247" s="201">
        <f t="shared" si="20"/>
        <v>10041167.541999999</v>
      </c>
      <c r="K247" s="202">
        <f t="shared" si="21"/>
        <v>19.21453004887271</v>
      </c>
      <c r="L247" s="315">
        <f t="shared" si="22"/>
        <v>2.5379692768464777E-2</v>
      </c>
      <c r="M247" s="369">
        <f t="shared" si="23"/>
        <v>18.667609724209186</v>
      </c>
      <c r="N247" s="263"/>
    </row>
    <row r="248" spans="1:14" x14ac:dyDescent="0.25">
      <c r="A248" s="217" t="s">
        <v>77</v>
      </c>
      <c r="B248" s="200">
        <v>901</v>
      </c>
      <c r="C248" s="200" t="s">
        <v>17</v>
      </c>
      <c r="D248" s="200" t="s">
        <v>18</v>
      </c>
      <c r="E248" s="200" t="s">
        <v>44</v>
      </c>
      <c r="F248" s="202">
        <v>7700721.6028364496</v>
      </c>
      <c r="G248" s="202">
        <v>736192.12971877097</v>
      </c>
      <c r="H248" s="379">
        <v>866179</v>
      </c>
      <c r="I248" s="379">
        <v>6432.28999999999</v>
      </c>
      <c r="J248" s="201">
        <f t="shared" si="20"/>
        <v>6964529.4731176784</v>
      </c>
      <c r="K248" s="202">
        <f t="shared" si="21"/>
        <v>8.0405198845939214</v>
      </c>
      <c r="L248" s="315">
        <f t="shared" si="22"/>
        <v>9.5600408336746684E-2</v>
      </c>
      <c r="M248" s="369">
        <f t="shared" si="23"/>
        <v>134.66106161258298</v>
      </c>
      <c r="N248" s="263"/>
    </row>
    <row r="249" spans="1:14" x14ac:dyDescent="0.25">
      <c r="A249" s="217" t="s">
        <v>77</v>
      </c>
      <c r="B249" s="200">
        <v>902</v>
      </c>
      <c r="C249" s="200" t="s">
        <v>94</v>
      </c>
      <c r="D249" s="200" t="s">
        <v>18</v>
      </c>
      <c r="E249" s="200" t="s">
        <v>44</v>
      </c>
      <c r="F249" s="202">
        <v>9106533.5755155608</v>
      </c>
      <c r="G249" s="202">
        <v>565050.13832024799</v>
      </c>
      <c r="H249" s="379">
        <v>866083</v>
      </c>
      <c r="I249" s="379">
        <v>7480.34</v>
      </c>
      <c r="J249" s="201">
        <f t="shared" si="20"/>
        <v>8541483.4371953122</v>
      </c>
      <c r="K249" s="202">
        <f t="shared" si="21"/>
        <v>9.8621996242800201</v>
      </c>
      <c r="L249" s="315">
        <f t="shared" si="22"/>
        <v>6.2048872233829988E-2</v>
      </c>
      <c r="M249" s="369">
        <f t="shared" si="23"/>
        <v>115.7812345428149</v>
      </c>
      <c r="N249" s="263"/>
    </row>
    <row r="250" spans="1:14" x14ac:dyDescent="0.25">
      <c r="A250" s="217" t="s">
        <v>77</v>
      </c>
      <c r="B250" s="200">
        <v>901</v>
      </c>
      <c r="C250" s="200" t="s">
        <v>17</v>
      </c>
      <c r="D250" s="200" t="s">
        <v>18</v>
      </c>
      <c r="E250" s="200" t="s">
        <v>43</v>
      </c>
      <c r="F250" s="202">
        <v>6878916.2051064596</v>
      </c>
      <c r="G250" s="202">
        <v>681957.58508916502</v>
      </c>
      <c r="H250" s="379">
        <v>818813</v>
      </c>
      <c r="I250" s="379">
        <v>5739.3699999999899</v>
      </c>
      <c r="J250" s="201">
        <f t="shared" si="20"/>
        <v>6196958.6200172948</v>
      </c>
      <c r="K250" s="202">
        <f t="shared" si="21"/>
        <v>7.5682220727043843</v>
      </c>
      <c r="L250" s="315">
        <f t="shared" si="22"/>
        <v>9.913735896112881E-2</v>
      </c>
      <c r="M250" s="369">
        <f t="shared" si="23"/>
        <v>142.66600689622754</v>
      </c>
      <c r="N250" s="263"/>
    </row>
    <row r="251" spans="1:14" x14ac:dyDescent="0.25">
      <c r="A251" s="217" t="s">
        <v>77</v>
      </c>
      <c r="B251" s="200">
        <v>902</v>
      </c>
      <c r="C251" s="200" t="s">
        <v>94</v>
      </c>
      <c r="D251" s="200" t="s">
        <v>18</v>
      </c>
      <c r="E251" s="200" t="s">
        <v>43</v>
      </c>
      <c r="F251" s="202">
        <v>8174956.0537355598</v>
      </c>
      <c r="G251" s="202">
        <v>711402.15856605605</v>
      </c>
      <c r="H251" s="379">
        <v>971382</v>
      </c>
      <c r="I251" s="379">
        <v>6717.18</v>
      </c>
      <c r="J251" s="201">
        <f t="shared" si="20"/>
        <v>7463553.895169504</v>
      </c>
      <c r="K251" s="202">
        <f t="shared" si="21"/>
        <v>7.6834385392868141</v>
      </c>
      <c r="L251" s="315">
        <f t="shared" si="22"/>
        <v>8.7022138576632421E-2</v>
      </c>
      <c r="M251" s="369">
        <f t="shared" si="23"/>
        <v>144.61157807294131</v>
      </c>
      <c r="N251" s="263"/>
    </row>
    <row r="252" spans="1:14" x14ac:dyDescent="0.25">
      <c r="A252" s="217" t="s">
        <v>77</v>
      </c>
      <c r="B252" s="200">
        <v>901</v>
      </c>
      <c r="C252" s="200" t="s">
        <v>17</v>
      </c>
      <c r="D252" s="200" t="s">
        <v>18</v>
      </c>
      <c r="E252" s="200" t="s">
        <v>23</v>
      </c>
      <c r="F252" s="202">
        <v>33202109.0175528</v>
      </c>
      <c r="G252" s="202">
        <v>2776286.6089348099</v>
      </c>
      <c r="H252" s="379">
        <v>4023516</v>
      </c>
      <c r="I252" s="379">
        <v>27678.92</v>
      </c>
      <c r="J252" s="201">
        <f t="shared" si="20"/>
        <v>30425822.408617992</v>
      </c>
      <c r="K252" s="202">
        <f t="shared" si="21"/>
        <v>7.5619986123127116</v>
      </c>
      <c r="L252" s="315">
        <f t="shared" si="22"/>
        <v>8.36177788425152E-2</v>
      </c>
      <c r="M252" s="369">
        <f t="shared" si="23"/>
        <v>145.36390870742068</v>
      </c>
      <c r="N252" s="263"/>
    </row>
    <row r="253" spans="1:14" x14ac:dyDescent="0.25">
      <c r="A253" s="217" t="s">
        <v>77</v>
      </c>
      <c r="B253" s="200">
        <v>902</v>
      </c>
      <c r="C253" s="200" t="s">
        <v>94</v>
      </c>
      <c r="D253" s="200" t="s">
        <v>18</v>
      </c>
      <c r="E253" s="200" t="s">
        <v>23</v>
      </c>
      <c r="F253" s="202">
        <v>40462291.545253202</v>
      </c>
      <c r="G253" s="202">
        <v>4573611.3793709502</v>
      </c>
      <c r="H253" s="379">
        <v>5704099</v>
      </c>
      <c r="I253" s="379">
        <v>33435.050000000097</v>
      </c>
      <c r="J253" s="201">
        <f t="shared" si="20"/>
        <v>35888680.165882252</v>
      </c>
      <c r="K253" s="202">
        <f t="shared" si="21"/>
        <v>6.2917351479843271</v>
      </c>
      <c r="L253" s="315">
        <f t="shared" si="22"/>
        <v>0.11303391885889121</v>
      </c>
      <c r="M253" s="369">
        <f t="shared" si="23"/>
        <v>170.60237684705072</v>
      </c>
      <c r="N253" s="263"/>
    </row>
    <row r="254" spans="1:14" x14ac:dyDescent="0.25">
      <c r="A254" s="217" t="s">
        <v>101</v>
      </c>
      <c r="B254" s="200" t="s">
        <v>102</v>
      </c>
      <c r="C254" s="200" t="s">
        <v>75</v>
      </c>
      <c r="D254" s="200" t="s">
        <v>58</v>
      </c>
      <c r="E254" s="200" t="s">
        <v>23</v>
      </c>
      <c r="F254" s="202">
        <v>2170160</v>
      </c>
      <c r="G254" s="202">
        <v>85892</v>
      </c>
      <c r="H254" s="379">
        <v>42323</v>
      </c>
      <c r="I254" s="379">
        <v>20796</v>
      </c>
      <c r="J254" s="201">
        <f t="shared" si="20"/>
        <v>2084268</v>
      </c>
      <c r="K254" s="202">
        <f t="shared" si="21"/>
        <v>49.246698012900787</v>
      </c>
      <c r="L254" s="315">
        <f t="shared" si="22"/>
        <v>3.9578648578906625E-2</v>
      </c>
      <c r="M254" s="369">
        <f t="shared" si="23"/>
        <v>2.0351509905751106</v>
      </c>
      <c r="N254" s="263"/>
    </row>
    <row r="255" spans="1:14" x14ac:dyDescent="0.25">
      <c r="A255" s="217" t="s">
        <v>101</v>
      </c>
      <c r="B255" s="200" t="s">
        <v>102</v>
      </c>
      <c r="C255" s="200" t="s">
        <v>75</v>
      </c>
      <c r="D255" s="200" t="s">
        <v>58</v>
      </c>
      <c r="E255" s="200" t="s">
        <v>43</v>
      </c>
      <c r="F255" s="202">
        <v>95276</v>
      </c>
      <c r="G255" s="202">
        <v>4213</v>
      </c>
      <c r="H255" s="379">
        <v>2076</v>
      </c>
      <c r="I255" s="379">
        <v>913</v>
      </c>
      <c r="J255" s="201">
        <f t="shared" si="20"/>
        <v>91063</v>
      </c>
      <c r="K255" s="202">
        <f t="shared" si="21"/>
        <v>43.864643545279385</v>
      </c>
      <c r="L255" s="315">
        <f t="shared" si="22"/>
        <v>4.4218900877450777E-2</v>
      </c>
      <c r="M255" s="369">
        <f t="shared" si="23"/>
        <v>2.2738225629791895</v>
      </c>
      <c r="N255" s="263"/>
    </row>
    <row r="256" spans="1:14" x14ac:dyDescent="0.25">
      <c r="A256" s="217" t="s">
        <v>77</v>
      </c>
      <c r="B256" s="200" t="s">
        <v>74</v>
      </c>
      <c r="C256" s="200" t="s">
        <v>136</v>
      </c>
      <c r="D256" s="200" t="s">
        <v>58</v>
      </c>
      <c r="E256" s="200" t="s">
        <v>23</v>
      </c>
      <c r="F256" s="202">
        <v>1609821.5801100309</v>
      </c>
      <c r="G256" s="202">
        <v>14870.377758773631</v>
      </c>
      <c r="H256" s="379">
        <v>84632</v>
      </c>
      <c r="I256" s="379">
        <v>13923.817765385382</v>
      </c>
      <c r="J256" s="201">
        <f t="shared" si="20"/>
        <v>1594951.2023512572</v>
      </c>
      <c r="K256" s="202">
        <f t="shared" si="21"/>
        <v>18.845722685878357</v>
      </c>
      <c r="L256" s="315">
        <f t="shared" si="22"/>
        <v>9.2372831514392073E-3</v>
      </c>
      <c r="M256" s="369">
        <f t="shared" si="23"/>
        <v>6.0782180164979751</v>
      </c>
      <c r="N256" s="263"/>
    </row>
    <row r="257" spans="1:14" x14ac:dyDescent="0.25">
      <c r="A257" s="217" t="s">
        <v>77</v>
      </c>
      <c r="B257" s="200" t="s">
        <v>74</v>
      </c>
      <c r="C257" s="200" t="s">
        <v>136</v>
      </c>
      <c r="D257" s="200" t="s">
        <v>58</v>
      </c>
      <c r="E257" s="200" t="s">
        <v>43</v>
      </c>
      <c r="F257" s="202">
        <v>232116.4709892032</v>
      </c>
      <c r="G257" s="202">
        <v>2283.1279964730193</v>
      </c>
      <c r="H257" s="379">
        <v>12994</v>
      </c>
      <c r="I257" s="379">
        <v>2007.6432583150768</v>
      </c>
      <c r="J257" s="201">
        <f t="shared" si="20"/>
        <v>229833.34299273018</v>
      </c>
      <c r="K257" s="202">
        <f t="shared" si="21"/>
        <v>17.687651453957994</v>
      </c>
      <c r="L257" s="315">
        <f t="shared" si="22"/>
        <v>9.8361309162727107E-3</v>
      </c>
      <c r="M257" s="369">
        <f t="shared" si="23"/>
        <v>6.4722654018250587</v>
      </c>
      <c r="N257" s="263"/>
    </row>
    <row r="258" spans="1:14" x14ac:dyDescent="0.25">
      <c r="A258" s="217" t="s">
        <v>77</v>
      </c>
      <c r="B258" s="200" t="s">
        <v>74</v>
      </c>
      <c r="C258" s="200" t="s">
        <v>136</v>
      </c>
      <c r="D258" s="200" t="s">
        <v>58</v>
      </c>
      <c r="E258" s="200" t="s">
        <v>44</v>
      </c>
      <c r="F258" s="202">
        <v>249857.12828867382</v>
      </c>
      <c r="G258" s="202">
        <v>2441.4393959514086</v>
      </c>
      <c r="H258" s="379">
        <v>13895</v>
      </c>
      <c r="I258" s="379">
        <v>2161.0873929496115</v>
      </c>
      <c r="J258" s="201">
        <f t="shared" si="20"/>
        <v>247415.68889272242</v>
      </c>
      <c r="K258" s="202">
        <f t="shared" si="21"/>
        <v>17.806094918511867</v>
      </c>
      <c r="L258" s="315">
        <f t="shared" si="22"/>
        <v>9.7713417770922198E-3</v>
      </c>
      <c r="M258" s="369">
        <f t="shared" si="23"/>
        <v>6.429633547135305</v>
      </c>
      <c r="N258" s="263"/>
    </row>
    <row r="259" spans="1:14" x14ac:dyDescent="0.25">
      <c r="A259" s="217" t="s">
        <v>45</v>
      </c>
      <c r="B259" s="200" t="s">
        <v>59</v>
      </c>
      <c r="C259" s="200" t="s">
        <v>75</v>
      </c>
      <c r="D259" s="200" t="s">
        <v>58</v>
      </c>
      <c r="E259" s="200" t="s">
        <v>23</v>
      </c>
      <c r="F259" s="202">
        <v>1483853.6733659855</v>
      </c>
      <c r="G259" s="202">
        <v>96039.308675336375</v>
      </c>
      <c r="H259" s="379">
        <v>45775</v>
      </c>
      <c r="I259" s="379">
        <v>15248</v>
      </c>
      <c r="J259" s="201">
        <f t="shared" si="20"/>
        <v>1387814.3646906491</v>
      </c>
      <c r="K259" s="202">
        <f t="shared" si="21"/>
        <v>30.318172904219534</v>
      </c>
      <c r="L259" s="315">
        <f t="shared" si="22"/>
        <v>6.4722897142195993E-2</v>
      </c>
      <c r="M259" s="369">
        <f t="shared" si="23"/>
        <v>3.0020330535152153</v>
      </c>
      <c r="N259" s="263"/>
    </row>
    <row r="260" spans="1:14" x14ac:dyDescent="0.25">
      <c r="A260" s="217" t="s">
        <v>45</v>
      </c>
      <c r="B260" s="200" t="s">
        <v>59</v>
      </c>
      <c r="C260" s="200" t="s">
        <v>75</v>
      </c>
      <c r="D260" s="200" t="s">
        <v>58</v>
      </c>
      <c r="E260" s="200" t="s">
        <v>43</v>
      </c>
      <c r="F260" s="202">
        <v>147626.31312278332</v>
      </c>
      <c r="G260" s="202">
        <v>9554.8026797275234</v>
      </c>
      <c r="H260" s="379">
        <v>4238</v>
      </c>
      <c r="I260" s="379">
        <v>1517</v>
      </c>
      <c r="J260" s="201">
        <f t="shared" si="20"/>
        <v>138071.5104430558</v>
      </c>
      <c r="K260" s="202">
        <f t="shared" si="21"/>
        <v>32.579403124836197</v>
      </c>
      <c r="L260" s="315">
        <f t="shared" si="22"/>
        <v>6.4722897142195993E-2</v>
      </c>
      <c r="M260" s="369">
        <f t="shared" si="23"/>
        <v>2.7936717205009889</v>
      </c>
      <c r="N260" s="263"/>
    </row>
    <row r="261" spans="1:14" x14ac:dyDescent="0.25">
      <c r="A261" s="217" t="s">
        <v>45</v>
      </c>
      <c r="B261" s="200" t="s">
        <v>59</v>
      </c>
      <c r="C261" s="200" t="s">
        <v>75</v>
      </c>
      <c r="D261" s="200" t="s">
        <v>58</v>
      </c>
      <c r="E261" s="200" t="s">
        <v>44</v>
      </c>
      <c r="F261" s="202">
        <v>97120.013511231213</v>
      </c>
      <c r="G261" s="202">
        <v>6285.8886449361025</v>
      </c>
      <c r="H261" s="379">
        <v>2768</v>
      </c>
      <c r="I261" s="379">
        <v>998</v>
      </c>
      <c r="J261" s="201">
        <f t="shared" si="20"/>
        <v>90834.124866295111</v>
      </c>
      <c r="K261" s="202">
        <f t="shared" si="21"/>
        <v>32.815796555742452</v>
      </c>
      <c r="L261" s="315">
        <f t="shared" si="22"/>
        <v>6.4722897142195993E-2</v>
      </c>
      <c r="M261" s="369">
        <f t="shared" si="23"/>
        <v>2.7735470941883769</v>
      </c>
      <c r="N261" s="263"/>
    </row>
    <row r="262" spans="1:14" x14ac:dyDescent="0.25">
      <c r="A262" s="217" t="s">
        <v>24</v>
      </c>
      <c r="B262" s="200" t="s">
        <v>117</v>
      </c>
      <c r="C262" s="200" t="s">
        <v>75</v>
      </c>
      <c r="D262" s="200" t="s">
        <v>58</v>
      </c>
      <c r="E262" s="200" t="s">
        <v>23</v>
      </c>
      <c r="F262" s="202">
        <v>7368473.0816842038</v>
      </c>
      <c r="G262" s="202">
        <v>448868</v>
      </c>
      <c r="H262" s="379">
        <v>131720</v>
      </c>
      <c r="I262" s="379">
        <v>46778</v>
      </c>
      <c r="J262" s="201">
        <f t="shared" si="20"/>
        <v>6919605.0816842038</v>
      </c>
      <c r="K262" s="202">
        <f t="shared" si="21"/>
        <v>52.532683583997901</v>
      </c>
      <c r="L262" s="315">
        <f t="shared" si="22"/>
        <v>6.0917369857230001E-2</v>
      </c>
      <c r="M262" s="369">
        <f t="shared" si="23"/>
        <v>2.815853606396169</v>
      </c>
      <c r="N262" s="263"/>
    </row>
    <row r="263" spans="1:14" x14ac:dyDescent="0.25">
      <c r="A263" s="217" t="s">
        <v>24</v>
      </c>
      <c r="B263" s="200" t="s">
        <v>117</v>
      </c>
      <c r="C263" s="200" t="s">
        <v>75</v>
      </c>
      <c r="D263" s="200" t="s">
        <v>58</v>
      </c>
      <c r="E263" s="200" t="s">
        <v>43</v>
      </c>
      <c r="F263" s="202">
        <v>796576.91831579653</v>
      </c>
      <c r="G263" s="202">
        <v>49017</v>
      </c>
      <c r="H263" s="379">
        <v>14384</v>
      </c>
      <c r="I263" s="379">
        <v>5003</v>
      </c>
      <c r="J263" s="201">
        <f t="shared" ref="J263:J275" si="24">+F263-G263</f>
        <v>747559.91831579653</v>
      </c>
      <c r="K263" s="202">
        <f t="shared" ref="K263:K275" si="25">J263/H263</f>
        <v>51.971629471342915</v>
      </c>
      <c r="L263" s="315">
        <f t="shared" ref="L263:L275" si="26">G263/F263</f>
        <v>6.15345472269479E-2</v>
      </c>
      <c r="M263" s="369">
        <f t="shared" ref="M263:M275" si="27">H263/I263</f>
        <v>2.8750749550269838</v>
      </c>
      <c r="N263" s="263"/>
    </row>
    <row r="264" spans="1:14" x14ac:dyDescent="0.25">
      <c r="A264" s="217" t="s">
        <v>8</v>
      </c>
      <c r="B264" s="200" t="s">
        <v>25</v>
      </c>
      <c r="C264" s="200" t="s">
        <v>133</v>
      </c>
      <c r="D264" s="200" t="s">
        <v>58</v>
      </c>
      <c r="E264" s="200" t="s">
        <v>23</v>
      </c>
      <c r="F264" s="202">
        <v>4582314.54</v>
      </c>
      <c r="G264" s="202">
        <v>285829.82</v>
      </c>
      <c r="H264" s="379">
        <v>110968</v>
      </c>
      <c r="I264" s="379">
        <v>36074.58</v>
      </c>
      <c r="J264" s="201">
        <f t="shared" si="24"/>
        <v>4296484.72</v>
      </c>
      <c r="K264" s="202">
        <f t="shared" si="25"/>
        <v>38.718231562252178</v>
      </c>
      <c r="L264" s="315">
        <f t="shared" si="26"/>
        <v>6.2376735054944524E-2</v>
      </c>
      <c r="M264" s="369">
        <f t="shared" si="27"/>
        <v>3.0760718489307428</v>
      </c>
      <c r="N264" s="263"/>
    </row>
    <row r="265" spans="1:14" x14ac:dyDescent="0.25">
      <c r="A265" s="217" t="s">
        <v>8</v>
      </c>
      <c r="B265" s="200" t="s">
        <v>25</v>
      </c>
      <c r="C265" s="200" t="s">
        <v>134</v>
      </c>
      <c r="D265" s="200" t="s">
        <v>58</v>
      </c>
      <c r="E265" s="200" t="s">
        <v>23</v>
      </c>
      <c r="F265" s="202">
        <v>1656793.37</v>
      </c>
      <c r="G265" s="202">
        <v>116188.56</v>
      </c>
      <c r="H265" s="379">
        <v>45108</v>
      </c>
      <c r="I265" s="379">
        <v>12822.55</v>
      </c>
      <c r="J265" s="201">
        <f t="shared" si="24"/>
        <v>1540604.81</v>
      </c>
      <c r="K265" s="202">
        <f t="shared" si="25"/>
        <v>34.153693579852799</v>
      </c>
      <c r="L265" s="315">
        <f t="shared" si="26"/>
        <v>7.0128576142237942E-2</v>
      </c>
      <c r="M265" s="369">
        <f t="shared" si="27"/>
        <v>3.5178650112497127</v>
      </c>
      <c r="N265" s="263"/>
    </row>
    <row r="266" spans="1:14" x14ac:dyDescent="0.25">
      <c r="A266" s="217" t="s">
        <v>8</v>
      </c>
      <c r="B266" s="200" t="s">
        <v>25</v>
      </c>
      <c r="C266" s="200" t="s">
        <v>133</v>
      </c>
      <c r="D266" s="200" t="s">
        <v>58</v>
      </c>
      <c r="E266" s="200" t="s">
        <v>43</v>
      </c>
      <c r="F266" s="202">
        <v>648944.81000000006</v>
      </c>
      <c r="G266" s="202">
        <v>42088.34</v>
      </c>
      <c r="H266" s="379">
        <v>16340</v>
      </c>
      <c r="I266" s="379">
        <v>4947.71</v>
      </c>
      <c r="J266" s="201">
        <f t="shared" si="24"/>
        <v>606856.47000000009</v>
      </c>
      <c r="K266" s="202">
        <f t="shared" si="25"/>
        <v>37.139318849449211</v>
      </c>
      <c r="L266" s="315">
        <f t="shared" si="26"/>
        <v>6.4856578481612318E-2</v>
      </c>
      <c r="M266" s="369">
        <f t="shared" si="27"/>
        <v>3.3025379417952951</v>
      </c>
      <c r="N266" s="263"/>
    </row>
    <row r="267" spans="1:14" x14ac:dyDescent="0.25">
      <c r="A267" s="217" t="s">
        <v>8</v>
      </c>
      <c r="B267" s="200" t="s">
        <v>25</v>
      </c>
      <c r="C267" s="200" t="s">
        <v>134</v>
      </c>
      <c r="D267" s="200" t="s">
        <v>58</v>
      </c>
      <c r="E267" s="200" t="s">
        <v>43</v>
      </c>
      <c r="F267" s="202">
        <v>261796.39</v>
      </c>
      <c r="G267" s="202">
        <v>17644.13</v>
      </c>
      <c r="H267" s="379">
        <v>6850</v>
      </c>
      <c r="I267" s="379">
        <v>1931.6</v>
      </c>
      <c r="J267" s="201">
        <f t="shared" si="24"/>
        <v>244152.26</v>
      </c>
      <c r="K267" s="202">
        <f t="shared" si="25"/>
        <v>35.642665693430658</v>
      </c>
      <c r="L267" s="315">
        <f t="shared" si="26"/>
        <v>6.7396383884437833E-2</v>
      </c>
      <c r="M267" s="369">
        <f t="shared" si="27"/>
        <v>3.5462828743010979</v>
      </c>
      <c r="N267" s="263"/>
    </row>
    <row r="268" spans="1:14" x14ac:dyDescent="0.25">
      <c r="A268" s="217" t="s">
        <v>8</v>
      </c>
      <c r="B268" s="200" t="s">
        <v>25</v>
      </c>
      <c r="C268" s="200" t="s">
        <v>133</v>
      </c>
      <c r="D268" s="200" t="s">
        <v>58</v>
      </c>
      <c r="E268" s="200" t="s">
        <v>44</v>
      </c>
      <c r="F268" s="202">
        <v>670259.36</v>
      </c>
      <c r="G268" s="202">
        <v>41220.300000000003</v>
      </c>
      <c r="H268" s="379">
        <v>16003</v>
      </c>
      <c r="I268" s="379">
        <v>5067.9399999999996</v>
      </c>
      <c r="J268" s="201">
        <f t="shared" si="24"/>
        <v>629039.05999999994</v>
      </c>
      <c r="K268" s="202">
        <f t="shared" si="25"/>
        <v>39.30757108042242</v>
      </c>
      <c r="L268" s="315">
        <f t="shared" si="26"/>
        <v>6.1499029271295823E-2</v>
      </c>
      <c r="M268" s="369">
        <f t="shared" si="27"/>
        <v>3.157693263929723</v>
      </c>
      <c r="N268" s="263"/>
    </row>
    <row r="269" spans="1:14" x14ac:dyDescent="0.25">
      <c r="A269" s="217" t="s">
        <v>8</v>
      </c>
      <c r="B269" s="200" t="s">
        <v>25</v>
      </c>
      <c r="C269" s="200" t="s">
        <v>134</v>
      </c>
      <c r="D269" s="200" t="s">
        <v>58</v>
      </c>
      <c r="E269" s="200" t="s">
        <v>44</v>
      </c>
      <c r="F269" s="202">
        <v>270435.69</v>
      </c>
      <c r="G269" s="202">
        <v>16822.46</v>
      </c>
      <c r="H269" s="379">
        <v>6531</v>
      </c>
      <c r="I269" s="379">
        <v>1944.56</v>
      </c>
      <c r="J269" s="201">
        <f t="shared" si="24"/>
        <v>253613.23</v>
      </c>
      <c r="K269" s="202">
        <f t="shared" si="25"/>
        <v>38.832220180676771</v>
      </c>
      <c r="L269" s="315">
        <f t="shared" si="26"/>
        <v>6.2205029225247593E-2</v>
      </c>
      <c r="M269" s="369">
        <f t="shared" si="27"/>
        <v>3.3586004031760401</v>
      </c>
      <c r="N269" s="263"/>
    </row>
    <row r="270" spans="1:14" x14ac:dyDescent="0.25">
      <c r="A270" s="217" t="s">
        <v>77</v>
      </c>
      <c r="B270" s="200"/>
      <c r="C270" s="200" t="s">
        <v>12</v>
      </c>
      <c r="D270" s="200" t="s">
        <v>13</v>
      </c>
      <c r="E270" s="200" t="s">
        <v>23</v>
      </c>
      <c r="F270" s="202">
        <v>90465300.629070997</v>
      </c>
      <c r="G270" s="202">
        <v>4070781.7741582207</v>
      </c>
      <c r="H270" s="379">
        <v>1450555</v>
      </c>
      <c r="I270" s="379">
        <v>1003342</v>
      </c>
      <c r="J270" s="201">
        <f t="shared" si="24"/>
        <v>86394518.854912773</v>
      </c>
      <c r="K270" s="202">
        <f t="shared" si="25"/>
        <v>59.559629834727239</v>
      </c>
      <c r="L270" s="315">
        <f t="shared" si="26"/>
        <v>4.4998267245574999E-2</v>
      </c>
      <c r="M270" s="369">
        <f t="shared" si="27"/>
        <v>1.4457233924225239</v>
      </c>
      <c r="N270" s="263"/>
    </row>
    <row r="271" spans="1:14" x14ac:dyDescent="0.25">
      <c r="A271" s="217" t="s">
        <v>77</v>
      </c>
      <c r="B271" s="200"/>
      <c r="C271" s="200" t="s">
        <v>12</v>
      </c>
      <c r="D271" s="200" t="s">
        <v>13</v>
      </c>
      <c r="E271" s="200" t="s">
        <v>43</v>
      </c>
      <c r="F271" s="202">
        <v>9993799.1584426966</v>
      </c>
      <c r="G271" s="202">
        <v>452039.77467867458</v>
      </c>
      <c r="H271" s="379">
        <v>147781</v>
      </c>
      <c r="I271" s="379">
        <v>119623</v>
      </c>
      <c r="J271" s="201">
        <f t="shared" si="24"/>
        <v>9541759.3837640211</v>
      </c>
      <c r="K271" s="202">
        <f t="shared" si="25"/>
        <v>64.566888732408231</v>
      </c>
      <c r="L271" s="315">
        <f t="shared" si="26"/>
        <v>4.5232025129982159E-2</v>
      </c>
      <c r="M271" s="369">
        <f t="shared" si="27"/>
        <v>1.2353895153941967</v>
      </c>
      <c r="N271" s="263"/>
    </row>
    <row r="272" spans="1:14" x14ac:dyDescent="0.25">
      <c r="A272" s="217" t="s">
        <v>77</v>
      </c>
      <c r="B272" s="200"/>
      <c r="C272" s="200" t="s">
        <v>12</v>
      </c>
      <c r="D272" s="200" t="s">
        <v>13</v>
      </c>
      <c r="E272" s="200" t="s">
        <v>44</v>
      </c>
      <c r="F272" s="202">
        <v>923836.21248601528</v>
      </c>
      <c r="G272" s="202">
        <v>44802.451163104335</v>
      </c>
      <c r="H272" s="379">
        <v>147945</v>
      </c>
      <c r="I272" s="379">
        <v>113575</v>
      </c>
      <c r="J272" s="201">
        <f t="shared" si="24"/>
        <v>879033.7613229109</v>
      </c>
      <c r="K272" s="202">
        <f t="shared" si="25"/>
        <v>5.9416253426807994</v>
      </c>
      <c r="L272" s="315">
        <f t="shared" si="26"/>
        <v>4.8496097638933526E-2</v>
      </c>
      <c r="M272" s="369">
        <f t="shared" si="27"/>
        <v>1.3026194144838212</v>
      </c>
      <c r="N272" s="263"/>
    </row>
    <row r="273" spans="1:15" x14ac:dyDescent="0.25">
      <c r="A273" s="217" t="s">
        <v>77</v>
      </c>
      <c r="B273" s="200"/>
      <c r="C273" s="200" t="s">
        <v>95</v>
      </c>
      <c r="D273" s="200" t="s">
        <v>96</v>
      </c>
      <c r="E273" s="200" t="s">
        <v>23</v>
      </c>
      <c r="F273" s="202">
        <v>15064799</v>
      </c>
      <c r="G273" s="202">
        <v>5766811</v>
      </c>
      <c r="H273" s="379">
        <v>207067</v>
      </c>
      <c r="I273" s="379">
        <v>89210</v>
      </c>
      <c r="J273" s="201">
        <f t="shared" si="24"/>
        <v>9297988</v>
      </c>
      <c r="K273" s="202">
        <f t="shared" si="25"/>
        <v>44.903282512423516</v>
      </c>
      <c r="L273" s="315">
        <f t="shared" si="26"/>
        <v>0.38280039448252845</v>
      </c>
      <c r="M273" s="369">
        <f t="shared" si="27"/>
        <v>2.3211187086649478</v>
      </c>
      <c r="N273" s="263"/>
    </row>
    <row r="274" spans="1:15" x14ac:dyDescent="0.25">
      <c r="A274" s="217" t="s">
        <v>77</v>
      </c>
      <c r="B274" s="200"/>
      <c r="C274" s="200" t="s">
        <v>100</v>
      </c>
      <c r="D274" s="200" t="s">
        <v>67</v>
      </c>
      <c r="E274" s="200" t="s">
        <v>23</v>
      </c>
      <c r="F274" s="202">
        <v>9784788</v>
      </c>
      <c r="G274" s="202">
        <v>542586</v>
      </c>
      <c r="H274" s="379">
        <v>139158</v>
      </c>
      <c r="I274" s="379">
        <v>89620</v>
      </c>
      <c r="J274" s="201">
        <f t="shared" si="24"/>
        <v>9242202</v>
      </c>
      <c r="K274" s="202">
        <f t="shared" si="25"/>
        <v>66.415168369766747</v>
      </c>
      <c r="L274" s="315">
        <f t="shared" si="26"/>
        <v>5.5451993441247779E-2</v>
      </c>
      <c r="M274" s="369">
        <f t="shared" si="27"/>
        <v>1.5527560812318679</v>
      </c>
      <c r="N274" s="263"/>
    </row>
    <row r="275" spans="1:15" x14ac:dyDescent="0.25">
      <c r="A275" s="217" t="s">
        <v>77</v>
      </c>
      <c r="B275" s="200"/>
      <c r="C275" s="200" t="s">
        <v>156</v>
      </c>
      <c r="D275" s="200" t="s">
        <v>38</v>
      </c>
      <c r="E275" s="200" t="s">
        <v>158</v>
      </c>
      <c r="F275" s="202">
        <v>845633</v>
      </c>
      <c r="G275" s="202">
        <v>593242</v>
      </c>
      <c r="H275" s="379">
        <v>82686</v>
      </c>
      <c r="I275" s="379">
        <v>22836</v>
      </c>
      <c r="J275" s="201">
        <f t="shared" si="24"/>
        <v>252391</v>
      </c>
      <c r="K275" s="202">
        <f t="shared" si="25"/>
        <v>3.0524030670246476</v>
      </c>
      <c r="L275" s="315">
        <f t="shared" si="26"/>
        <v>0.70153600911979541</v>
      </c>
      <c r="M275" s="369">
        <f t="shared" si="27"/>
        <v>3.6208617971623753</v>
      </c>
      <c r="N275" s="263"/>
    </row>
    <row r="276" spans="1:15" customFormat="1" ht="24" customHeight="1" thickBot="1" x14ac:dyDescent="0.45">
      <c r="A276" s="481" t="s">
        <v>141</v>
      </c>
      <c r="B276" s="481"/>
      <c r="C276" s="481"/>
      <c r="D276" s="481"/>
      <c r="E276" s="481"/>
      <c r="F276" s="481"/>
      <c r="G276" s="481"/>
      <c r="H276" s="481"/>
      <c r="I276" s="481"/>
      <c r="J276" s="481"/>
      <c r="K276" s="481"/>
      <c r="L276" s="481"/>
      <c r="M276" s="481"/>
      <c r="N276" s="481"/>
      <c r="O276" s="422"/>
    </row>
    <row r="277" spans="1:15" x14ac:dyDescent="0.25">
      <c r="A277" s="161" t="s">
        <v>77</v>
      </c>
      <c r="B277" s="162">
        <v>761</v>
      </c>
      <c r="C277" s="162"/>
      <c r="D277" s="162" t="s">
        <v>46</v>
      </c>
      <c r="E277" s="162" t="s">
        <v>23</v>
      </c>
      <c r="F277" s="165">
        <v>167829.52249999999</v>
      </c>
      <c r="G277" s="165">
        <v>11287.92085</v>
      </c>
      <c r="H277" s="364">
        <v>4955</v>
      </c>
      <c r="I277" s="364">
        <v>371.19999999999902</v>
      </c>
      <c r="J277" s="255">
        <f t="shared" ref="J277" si="28">+F277-G277</f>
        <v>156541.60165</v>
      </c>
      <c r="K277" s="165">
        <f t="shared" ref="K277" si="29">J277/H277</f>
        <v>31.592654217961655</v>
      </c>
      <c r="L277" s="439">
        <f>G277/F277</f>
        <v>6.7258255173788042E-2</v>
      </c>
      <c r="M277" s="168">
        <f>H277/I277</f>
        <v>13.348599137931069</v>
      </c>
      <c r="N277" s="285"/>
    </row>
    <row r="278" spans="1:15" x14ac:dyDescent="0.25">
      <c r="A278" s="170" t="s">
        <v>8</v>
      </c>
      <c r="B278" s="172">
        <v>493</v>
      </c>
      <c r="C278" s="172"/>
      <c r="D278" s="172" t="s">
        <v>46</v>
      </c>
      <c r="E278" s="172" t="s">
        <v>23</v>
      </c>
      <c r="F278" s="175">
        <v>337627.88</v>
      </c>
      <c r="G278" s="175">
        <v>25814.31</v>
      </c>
      <c r="H278" s="354">
        <v>14719</v>
      </c>
      <c r="I278" s="354">
        <v>1084.44</v>
      </c>
      <c r="J278" s="261">
        <f t="shared" ref="J278:J296" si="30">+F278-G278</f>
        <v>311813.57</v>
      </c>
      <c r="K278" s="175">
        <f t="shared" ref="K278:K296" si="31">J278/H278</f>
        <v>21.18442625178341</v>
      </c>
      <c r="L278" s="314">
        <f t="shared" ref="L278:L296" si="32">G278/F278</f>
        <v>7.6457874272705201E-2</v>
      </c>
      <c r="M278" s="178">
        <f t="shared" ref="M278:M296" si="33">H278/I278</f>
        <v>13.572903987311422</v>
      </c>
      <c r="N278" s="180"/>
    </row>
    <row r="279" spans="1:15" x14ac:dyDescent="0.25">
      <c r="A279" s="170" t="s">
        <v>8</v>
      </c>
      <c r="B279" s="172">
        <v>472</v>
      </c>
      <c r="C279" s="172"/>
      <c r="D279" s="172" t="s">
        <v>46</v>
      </c>
      <c r="E279" s="172" t="s">
        <v>23</v>
      </c>
      <c r="F279" s="175">
        <v>523242.7</v>
      </c>
      <c r="G279" s="175">
        <v>34790.300000000003</v>
      </c>
      <c r="H279" s="354">
        <v>19837</v>
      </c>
      <c r="I279" s="354">
        <v>1524.76</v>
      </c>
      <c r="J279" s="261">
        <f t="shared" si="30"/>
        <v>488452.4</v>
      </c>
      <c r="K279" s="175">
        <f t="shared" si="31"/>
        <v>24.623299894137219</v>
      </c>
      <c r="L279" s="314">
        <f t="shared" si="32"/>
        <v>6.6489795270913477E-2</v>
      </c>
      <c r="M279" s="178">
        <f t="shared" si="33"/>
        <v>13.009916314698707</v>
      </c>
      <c r="N279" s="180"/>
    </row>
    <row r="280" spans="1:15" x14ac:dyDescent="0.25">
      <c r="A280" s="170" t="s">
        <v>8</v>
      </c>
      <c r="B280" s="172">
        <v>484</v>
      </c>
      <c r="C280" s="172"/>
      <c r="D280" s="172" t="s">
        <v>46</v>
      </c>
      <c r="E280" s="172" t="s">
        <v>23</v>
      </c>
      <c r="F280" s="175">
        <v>187461.97</v>
      </c>
      <c r="G280" s="175">
        <v>6513.65</v>
      </c>
      <c r="H280" s="354">
        <v>3714</v>
      </c>
      <c r="I280" s="354">
        <v>607.20000000000005</v>
      </c>
      <c r="J280" s="261">
        <f t="shared" si="30"/>
        <v>180948.32</v>
      </c>
      <c r="K280" s="175">
        <f t="shared" si="31"/>
        <v>48.720603123317183</v>
      </c>
      <c r="L280" s="314">
        <f t="shared" si="32"/>
        <v>3.4746514186317363E-2</v>
      </c>
      <c r="M280" s="178">
        <f t="shared" si="33"/>
        <v>6.1166007905138331</v>
      </c>
      <c r="N280" s="180"/>
    </row>
    <row r="281" spans="1:15" customFormat="1" x14ac:dyDescent="0.25">
      <c r="A281" s="335" t="s">
        <v>8</v>
      </c>
      <c r="B281" s="172">
        <v>410</v>
      </c>
      <c r="C281" s="261" t="s">
        <v>72</v>
      </c>
      <c r="D281" s="261" t="s">
        <v>16</v>
      </c>
      <c r="E281" s="261" t="s">
        <v>23</v>
      </c>
      <c r="F281" s="261">
        <v>397126.99</v>
      </c>
      <c r="G281" s="261">
        <v>13530.63</v>
      </c>
      <c r="H281" s="313">
        <v>7715</v>
      </c>
      <c r="I281" s="313">
        <v>1822.8300000000002</v>
      </c>
      <c r="J281" s="261">
        <f t="shared" si="30"/>
        <v>383596.36</v>
      </c>
      <c r="K281" s="175">
        <f t="shared" si="31"/>
        <v>49.720850291639664</v>
      </c>
      <c r="L281" s="336">
        <f t="shared" si="32"/>
        <v>3.4071292913130886E-2</v>
      </c>
      <c r="M281" s="445">
        <f t="shared" si="33"/>
        <v>4.2324297932335977</v>
      </c>
      <c r="N281" s="425"/>
      <c r="O281" s="420"/>
    </row>
    <row r="282" spans="1:15" customFormat="1" x14ac:dyDescent="0.25">
      <c r="A282" s="335" t="s">
        <v>8</v>
      </c>
      <c r="B282" s="172">
        <v>420</v>
      </c>
      <c r="C282" s="261"/>
      <c r="D282" s="261" t="s">
        <v>16</v>
      </c>
      <c r="E282" s="261" t="s">
        <v>23</v>
      </c>
      <c r="F282" s="261">
        <v>901828.17</v>
      </c>
      <c r="G282" s="261">
        <v>13877.89</v>
      </c>
      <c r="H282" s="313">
        <v>7913</v>
      </c>
      <c r="I282" s="313">
        <v>3995.59</v>
      </c>
      <c r="J282" s="261">
        <f t="shared" si="30"/>
        <v>887950.28</v>
      </c>
      <c r="K282" s="175">
        <f t="shared" si="31"/>
        <v>112.21411348414003</v>
      </c>
      <c r="L282" s="336">
        <f t="shared" si="32"/>
        <v>1.538861887625444E-2</v>
      </c>
      <c r="M282" s="445">
        <f t="shared" si="33"/>
        <v>1.9804334278542093</v>
      </c>
      <c r="N282" s="425"/>
      <c r="O282" s="420"/>
    </row>
    <row r="283" spans="1:15" customFormat="1" x14ac:dyDescent="0.25">
      <c r="A283" s="335" t="s">
        <v>8</v>
      </c>
      <c r="B283" s="172">
        <v>436</v>
      </c>
      <c r="C283" s="261"/>
      <c r="D283" s="261" t="s">
        <v>16</v>
      </c>
      <c r="E283" s="261" t="s">
        <v>23</v>
      </c>
      <c r="F283" s="261">
        <v>954412.38</v>
      </c>
      <c r="G283" s="261">
        <v>23115.200000000001</v>
      </c>
      <c r="H283" s="313">
        <v>13180</v>
      </c>
      <c r="I283" s="313">
        <v>3764.19</v>
      </c>
      <c r="J283" s="261">
        <f t="shared" si="30"/>
        <v>931297.18</v>
      </c>
      <c r="K283" s="175">
        <f t="shared" si="31"/>
        <v>70.659877086494689</v>
      </c>
      <c r="L283" s="336">
        <f t="shared" si="32"/>
        <v>2.4219300256771607E-2</v>
      </c>
      <c r="M283" s="445">
        <f t="shared" si="33"/>
        <v>3.5014173035898826</v>
      </c>
      <c r="N283" s="425"/>
      <c r="O283" s="420"/>
    </row>
    <row r="284" spans="1:15" customFormat="1" x14ac:dyDescent="0.25">
      <c r="A284" s="335" t="s">
        <v>8</v>
      </c>
      <c r="B284" s="172">
        <v>440</v>
      </c>
      <c r="C284" s="261"/>
      <c r="D284" s="261" t="s">
        <v>16</v>
      </c>
      <c r="E284" s="261" t="s">
        <v>23</v>
      </c>
      <c r="F284" s="261">
        <v>914411.14</v>
      </c>
      <c r="G284" s="261">
        <v>23465.96</v>
      </c>
      <c r="H284" s="313">
        <v>13380</v>
      </c>
      <c r="I284" s="313">
        <v>4263.0500000000011</v>
      </c>
      <c r="J284" s="261">
        <f t="shared" si="30"/>
        <v>890945.18</v>
      </c>
      <c r="K284" s="175">
        <f t="shared" si="31"/>
        <v>66.587831091180874</v>
      </c>
      <c r="L284" s="336">
        <f t="shared" si="32"/>
        <v>2.5662373273361475E-2</v>
      </c>
      <c r="M284" s="445">
        <f t="shared" si="33"/>
        <v>3.1385979521703935</v>
      </c>
      <c r="N284" s="425"/>
      <c r="O284" s="420"/>
    </row>
    <row r="285" spans="1:15" customFormat="1" x14ac:dyDescent="0.25">
      <c r="A285" s="335" t="s">
        <v>8</v>
      </c>
      <c r="B285" s="172">
        <v>442</v>
      </c>
      <c r="C285" s="261"/>
      <c r="D285" s="261" t="s">
        <v>16</v>
      </c>
      <c r="E285" s="261" t="s">
        <v>23</v>
      </c>
      <c r="F285" s="261">
        <v>1437668.74</v>
      </c>
      <c r="G285" s="261">
        <v>55046.79</v>
      </c>
      <c r="H285" s="313">
        <v>31387</v>
      </c>
      <c r="I285" s="313">
        <v>6939.7899999999991</v>
      </c>
      <c r="J285" s="261">
        <f t="shared" si="30"/>
        <v>1382621.95</v>
      </c>
      <c r="K285" s="175">
        <f t="shared" si="31"/>
        <v>44.050783763978714</v>
      </c>
      <c r="L285" s="336">
        <f t="shared" si="32"/>
        <v>3.8288924609990477E-2</v>
      </c>
      <c r="M285" s="445">
        <f t="shared" si="33"/>
        <v>4.5227593342161656</v>
      </c>
      <c r="N285" s="425"/>
      <c r="O285" s="420"/>
    </row>
    <row r="286" spans="1:15" customFormat="1" x14ac:dyDescent="0.25">
      <c r="A286" s="335" t="s">
        <v>8</v>
      </c>
      <c r="B286" s="172">
        <v>445</v>
      </c>
      <c r="C286" s="261"/>
      <c r="D286" s="261" t="s">
        <v>16</v>
      </c>
      <c r="E286" s="261" t="s">
        <v>23</v>
      </c>
      <c r="F286" s="261">
        <v>1041651.53</v>
      </c>
      <c r="G286" s="261">
        <v>56733.95</v>
      </c>
      <c r="H286" s="313">
        <v>32349</v>
      </c>
      <c r="I286" s="313">
        <v>4628.3499999999995</v>
      </c>
      <c r="J286" s="261">
        <f t="shared" si="30"/>
        <v>984917.58000000007</v>
      </c>
      <c r="K286" s="175">
        <f t="shared" si="31"/>
        <v>30.446615969581753</v>
      </c>
      <c r="L286" s="336">
        <f t="shared" si="32"/>
        <v>5.4465383447379945E-2</v>
      </c>
      <c r="M286" s="445">
        <f t="shared" si="33"/>
        <v>6.9893158469000838</v>
      </c>
      <c r="N286" s="425"/>
      <c r="O286" s="420"/>
    </row>
    <row r="287" spans="1:15" customFormat="1" x14ac:dyDescent="0.25">
      <c r="A287" s="335" t="s">
        <v>8</v>
      </c>
      <c r="B287" s="172">
        <v>489</v>
      </c>
      <c r="C287" s="261"/>
      <c r="D287" s="261" t="s">
        <v>16</v>
      </c>
      <c r="E287" s="261" t="s">
        <v>23</v>
      </c>
      <c r="F287" s="261">
        <v>321587.46000000002</v>
      </c>
      <c r="G287" s="261">
        <v>6489.09</v>
      </c>
      <c r="H287" s="313">
        <v>3700</v>
      </c>
      <c r="I287" s="313">
        <v>1489.1</v>
      </c>
      <c r="J287" s="261">
        <f t="shared" si="30"/>
        <v>315098.37</v>
      </c>
      <c r="K287" s="175">
        <f t="shared" si="31"/>
        <v>85.161721621621624</v>
      </c>
      <c r="L287" s="336">
        <f t="shared" si="32"/>
        <v>2.0178305460044989E-2</v>
      </c>
      <c r="M287" s="445">
        <f t="shared" si="33"/>
        <v>2.4847223154925797</v>
      </c>
      <c r="N287" s="425"/>
      <c r="O287" s="420"/>
    </row>
    <row r="288" spans="1:15" customFormat="1" x14ac:dyDescent="0.25">
      <c r="A288" s="335" t="s">
        <v>77</v>
      </c>
      <c r="B288" s="172">
        <v>501</v>
      </c>
      <c r="C288" s="261"/>
      <c r="D288" s="261" t="s">
        <v>16</v>
      </c>
      <c r="E288" s="261" t="s">
        <v>23</v>
      </c>
      <c r="F288" s="261">
        <v>80905.998550000004</v>
      </c>
      <c r="G288" s="261">
        <v>639.66722930000003</v>
      </c>
      <c r="H288" s="313">
        <v>855</v>
      </c>
      <c r="I288" s="313">
        <v>118.4</v>
      </c>
      <c r="J288" s="261">
        <f t="shared" si="30"/>
        <v>80266.331320700003</v>
      </c>
      <c r="K288" s="175">
        <f t="shared" si="31"/>
        <v>93.878750082690061</v>
      </c>
      <c r="L288" s="177">
        <f t="shared" si="32"/>
        <v>7.9063016434397625E-3</v>
      </c>
      <c r="M288" s="429">
        <f t="shared" si="33"/>
        <v>7.2212837837837833</v>
      </c>
      <c r="N288" s="425"/>
      <c r="O288" s="194"/>
    </row>
    <row r="289" spans="1:19" customFormat="1" x14ac:dyDescent="0.25">
      <c r="A289" s="335" t="s">
        <v>8</v>
      </c>
      <c r="B289" s="172">
        <v>410</v>
      </c>
      <c r="C289" s="261" t="s">
        <v>72</v>
      </c>
      <c r="D289" s="261" t="s">
        <v>16</v>
      </c>
      <c r="E289" s="261" t="s">
        <v>43</v>
      </c>
      <c r="F289" s="261">
        <v>200981.74</v>
      </c>
      <c r="G289" s="261">
        <v>8467.39</v>
      </c>
      <c r="H289" s="313">
        <v>4828</v>
      </c>
      <c r="I289" s="313">
        <v>868.92000000000019</v>
      </c>
      <c r="J289" s="261">
        <f t="shared" si="30"/>
        <v>192514.34999999998</v>
      </c>
      <c r="K289" s="175">
        <f t="shared" si="31"/>
        <v>39.874554681027334</v>
      </c>
      <c r="L289" s="336">
        <f t="shared" si="32"/>
        <v>4.21301457535396E-2</v>
      </c>
      <c r="M289" s="445">
        <f t="shared" si="33"/>
        <v>5.5563227915112998</v>
      </c>
      <c r="N289" s="425"/>
      <c r="O289" s="420"/>
    </row>
    <row r="290" spans="1:19" customFormat="1" x14ac:dyDescent="0.25">
      <c r="A290" s="335" t="s">
        <v>8</v>
      </c>
      <c r="B290" s="172">
        <v>442</v>
      </c>
      <c r="C290" s="261"/>
      <c r="D290" s="261" t="s">
        <v>16</v>
      </c>
      <c r="E290" s="261" t="s">
        <v>43</v>
      </c>
      <c r="F290" s="261">
        <v>263242.23</v>
      </c>
      <c r="G290" s="261">
        <v>9300.4500000000007</v>
      </c>
      <c r="H290" s="313">
        <v>5303</v>
      </c>
      <c r="I290" s="313">
        <v>1229.58</v>
      </c>
      <c r="J290" s="261">
        <f t="shared" si="30"/>
        <v>253941.77999999997</v>
      </c>
      <c r="K290" s="175">
        <f t="shared" si="31"/>
        <v>47.886437865359227</v>
      </c>
      <c r="L290" s="336">
        <f t="shared" si="32"/>
        <v>3.5330387529386914E-2</v>
      </c>
      <c r="M290" s="445">
        <f t="shared" si="33"/>
        <v>4.3128547959465839</v>
      </c>
      <c r="N290" s="425"/>
      <c r="O290" s="420"/>
    </row>
    <row r="291" spans="1:19" customFormat="1" ht="15.75" x14ac:dyDescent="0.25">
      <c r="A291" s="335" t="s">
        <v>8</v>
      </c>
      <c r="B291" s="172">
        <v>497</v>
      </c>
      <c r="C291" s="261"/>
      <c r="D291" s="261" t="s">
        <v>16</v>
      </c>
      <c r="E291" s="261" t="s">
        <v>43</v>
      </c>
      <c r="F291" s="261">
        <v>128683.26</v>
      </c>
      <c r="G291" s="261">
        <v>1781.87</v>
      </c>
      <c r="H291" s="313">
        <v>1016</v>
      </c>
      <c r="I291" s="313">
        <v>406.24</v>
      </c>
      <c r="J291" s="261">
        <f t="shared" si="30"/>
        <v>126901.39</v>
      </c>
      <c r="K291" s="175">
        <f t="shared" si="31"/>
        <v>124.90294291338583</v>
      </c>
      <c r="L291" s="336">
        <f t="shared" si="32"/>
        <v>1.3846944816287681E-2</v>
      </c>
      <c r="M291" s="445">
        <f t="shared" si="33"/>
        <v>2.5009846396218984</v>
      </c>
      <c r="N291" s="425"/>
      <c r="O291" s="420"/>
      <c r="R291" s="136"/>
    </row>
    <row r="292" spans="1:19" customFormat="1" ht="15.75" x14ac:dyDescent="0.25">
      <c r="A292" s="335" t="s">
        <v>8</v>
      </c>
      <c r="B292" s="172">
        <v>499</v>
      </c>
      <c r="C292" s="261"/>
      <c r="D292" s="261" t="s">
        <v>16</v>
      </c>
      <c r="E292" s="261" t="s">
        <v>43</v>
      </c>
      <c r="F292" s="261">
        <v>135056.72</v>
      </c>
      <c r="G292" s="261">
        <v>1702.95</v>
      </c>
      <c r="H292" s="313">
        <v>971</v>
      </c>
      <c r="I292" s="313">
        <v>698.22000000000014</v>
      </c>
      <c r="J292" s="261">
        <f t="shared" si="30"/>
        <v>133353.76999999999</v>
      </c>
      <c r="K292" s="175">
        <f t="shared" si="31"/>
        <v>137.33652935118434</v>
      </c>
      <c r="L292" s="336">
        <f t="shared" si="32"/>
        <v>1.2609146734794094E-2</v>
      </c>
      <c r="M292" s="445">
        <f t="shared" si="33"/>
        <v>1.390679155567013</v>
      </c>
      <c r="N292" s="425"/>
      <c r="O292" s="420"/>
      <c r="R292" s="136"/>
    </row>
    <row r="293" spans="1:19" customFormat="1" ht="15.75" x14ac:dyDescent="0.25">
      <c r="A293" s="335" t="s">
        <v>8</v>
      </c>
      <c r="B293" s="172">
        <v>410</v>
      </c>
      <c r="C293" s="261" t="s">
        <v>72</v>
      </c>
      <c r="D293" s="261" t="s">
        <v>16</v>
      </c>
      <c r="E293" s="261" t="s">
        <v>44</v>
      </c>
      <c r="F293" s="261">
        <v>218830.62</v>
      </c>
      <c r="G293" s="261">
        <v>7895.65</v>
      </c>
      <c r="H293" s="313">
        <v>4502</v>
      </c>
      <c r="I293" s="313">
        <v>947.43000000000018</v>
      </c>
      <c r="J293" s="261">
        <f t="shared" si="30"/>
        <v>210934.97</v>
      </c>
      <c r="K293" s="175">
        <f t="shared" si="31"/>
        <v>46.853613949355839</v>
      </c>
      <c r="L293" s="336">
        <f t="shared" si="32"/>
        <v>3.6081102361269185E-2</v>
      </c>
      <c r="M293" s="445">
        <f t="shared" si="33"/>
        <v>4.7518022439652521</v>
      </c>
      <c r="N293" s="425"/>
      <c r="O293" s="420"/>
      <c r="R293" s="136"/>
    </row>
    <row r="294" spans="1:19" customFormat="1" ht="15.75" x14ac:dyDescent="0.25">
      <c r="A294" s="335" t="s">
        <v>8</v>
      </c>
      <c r="B294" s="172">
        <v>442</v>
      </c>
      <c r="C294" s="261"/>
      <c r="D294" s="261" t="s">
        <v>16</v>
      </c>
      <c r="E294" s="261" t="s">
        <v>44</v>
      </c>
      <c r="F294" s="261">
        <v>268205.39</v>
      </c>
      <c r="G294" s="261">
        <v>7900.91</v>
      </c>
      <c r="H294" s="313">
        <v>4505</v>
      </c>
      <c r="I294" s="313">
        <v>1252.3499999999999</v>
      </c>
      <c r="J294" s="261">
        <f t="shared" si="30"/>
        <v>260304.48</v>
      </c>
      <c r="K294" s="175">
        <f t="shared" si="31"/>
        <v>57.781238623751392</v>
      </c>
      <c r="L294" s="336">
        <f t="shared" si="32"/>
        <v>2.9458431092678636E-2</v>
      </c>
      <c r="M294" s="445">
        <f t="shared" si="33"/>
        <v>3.5972371940751389</v>
      </c>
      <c r="N294" s="425"/>
      <c r="O294" s="420"/>
      <c r="R294" s="136"/>
    </row>
    <row r="295" spans="1:19" customFormat="1" ht="15.75" x14ac:dyDescent="0.25">
      <c r="A295" s="335" t="s">
        <v>8</v>
      </c>
      <c r="B295" s="172">
        <v>497</v>
      </c>
      <c r="C295" s="261"/>
      <c r="D295" s="261" t="s">
        <v>16</v>
      </c>
      <c r="E295" s="261" t="s">
        <v>44</v>
      </c>
      <c r="F295" s="261">
        <v>131055.56</v>
      </c>
      <c r="G295" s="261">
        <v>1673.13</v>
      </c>
      <c r="H295" s="313">
        <v>954</v>
      </c>
      <c r="I295" s="313">
        <v>413.71000000000004</v>
      </c>
      <c r="J295" s="261">
        <f t="shared" si="30"/>
        <v>129382.43</v>
      </c>
      <c r="K295" s="175">
        <f t="shared" si="31"/>
        <v>135.62099580712788</v>
      </c>
      <c r="L295" s="336">
        <f t="shared" si="32"/>
        <v>1.2766570147806015E-2</v>
      </c>
      <c r="M295" s="445">
        <f t="shared" si="33"/>
        <v>2.30596311425878</v>
      </c>
      <c r="N295" s="425"/>
      <c r="O295" s="420"/>
      <c r="R295" s="136"/>
    </row>
    <row r="296" spans="1:19" customFormat="1" ht="15.75" x14ac:dyDescent="0.25">
      <c r="A296" s="335" t="s">
        <v>8</v>
      </c>
      <c r="B296" s="172">
        <v>499</v>
      </c>
      <c r="C296" s="261"/>
      <c r="D296" s="261" t="s">
        <v>16</v>
      </c>
      <c r="E296" s="261" t="s">
        <v>44</v>
      </c>
      <c r="F296" s="261">
        <v>137566.22</v>
      </c>
      <c r="G296" s="261">
        <v>1438.12</v>
      </c>
      <c r="H296" s="313">
        <v>820</v>
      </c>
      <c r="I296" s="313">
        <v>711.15</v>
      </c>
      <c r="J296" s="261">
        <f t="shared" si="30"/>
        <v>136128.1</v>
      </c>
      <c r="K296" s="175">
        <f t="shared" si="31"/>
        <v>166.00987804878051</v>
      </c>
      <c r="L296" s="336">
        <f t="shared" si="32"/>
        <v>1.0454019889475773E-2</v>
      </c>
      <c r="M296" s="445">
        <f t="shared" si="33"/>
        <v>1.153061941925051</v>
      </c>
      <c r="N296" s="425"/>
      <c r="O296" s="420"/>
      <c r="R296" s="136"/>
    </row>
    <row r="297" spans="1:19" customFormat="1" ht="15.75" x14ac:dyDescent="0.25">
      <c r="A297" s="335" t="s">
        <v>77</v>
      </c>
      <c r="B297" s="172">
        <v>888</v>
      </c>
      <c r="C297" s="261" t="s">
        <v>99</v>
      </c>
      <c r="D297" s="261" t="s">
        <v>19</v>
      </c>
      <c r="E297" s="261" t="s">
        <v>158</v>
      </c>
      <c r="F297" s="261">
        <v>18752019.000000022</v>
      </c>
      <c r="G297" s="261">
        <v>392587.99999999953</v>
      </c>
      <c r="H297" s="313">
        <v>121750</v>
      </c>
      <c r="I297" s="313">
        <v>1805.45</v>
      </c>
      <c r="J297" s="261">
        <f t="shared" ref="J297" si="34">+F297-G297</f>
        <v>18359431.000000022</v>
      </c>
      <c r="K297" s="175">
        <f t="shared" ref="K297" si="35">J297/H297</f>
        <v>150.79614784394269</v>
      </c>
      <c r="L297" s="336">
        <f t="shared" ref="L297" si="36">G297/F297</f>
        <v>2.0935772302705061E-2</v>
      </c>
      <c r="M297" s="445">
        <f t="shared" ref="M297" si="37">H297/I297</f>
        <v>67.434711567753183</v>
      </c>
      <c r="N297" s="425"/>
      <c r="O297" s="420"/>
      <c r="R297" s="136"/>
    </row>
    <row r="298" spans="1:19" customFormat="1" ht="24.75" thickBot="1" x14ac:dyDescent="0.45">
      <c r="A298" s="482" t="s">
        <v>144</v>
      </c>
      <c r="B298" s="482"/>
      <c r="C298" s="482"/>
      <c r="D298" s="482"/>
      <c r="E298" s="482"/>
      <c r="F298" s="482"/>
      <c r="G298" s="482"/>
      <c r="H298" s="482"/>
      <c r="I298" s="482"/>
      <c r="J298" s="482"/>
      <c r="K298" s="482"/>
      <c r="L298" s="482"/>
      <c r="M298" s="482"/>
      <c r="N298" s="482"/>
      <c r="O298" s="422"/>
    </row>
    <row r="299" spans="1:19" customFormat="1" x14ac:dyDescent="0.25">
      <c r="A299" s="161" t="s">
        <v>77</v>
      </c>
      <c r="B299" s="199">
        <v>860</v>
      </c>
      <c r="C299" s="199"/>
      <c r="D299" s="162" t="s">
        <v>46</v>
      </c>
      <c r="E299" s="199" t="s">
        <v>23</v>
      </c>
      <c r="F299" s="163">
        <v>256617.26190000001</v>
      </c>
      <c r="G299" s="163">
        <v>6989.4673549999998</v>
      </c>
      <c r="H299" s="164">
        <v>3941</v>
      </c>
      <c r="I299" s="164">
        <v>513.75</v>
      </c>
      <c r="J299" s="255">
        <f t="shared" ref="J299" si="38">+F299-G299</f>
        <v>249627.79454500001</v>
      </c>
      <c r="K299" s="165">
        <f t="shared" ref="K299" si="39">J299/H299</f>
        <v>63.341231805379351</v>
      </c>
      <c r="L299" s="166">
        <f>G299/F299</f>
        <v>2.7236933724761245E-2</v>
      </c>
      <c r="M299" s="428">
        <f>H299/I299</f>
        <v>7.6710462287104626</v>
      </c>
      <c r="N299" s="424"/>
      <c r="O299" s="172"/>
    </row>
    <row r="300" spans="1:19" customFormat="1" x14ac:dyDescent="0.25">
      <c r="A300" s="170" t="s">
        <v>77</v>
      </c>
      <c r="B300" s="171">
        <v>134</v>
      </c>
      <c r="C300" s="171"/>
      <c r="D300" s="172" t="s">
        <v>46</v>
      </c>
      <c r="E300" s="171" t="s">
        <v>23</v>
      </c>
      <c r="F300" s="173">
        <v>131917.71400000001</v>
      </c>
      <c r="G300" s="173">
        <v>4693.1553219999996</v>
      </c>
      <c r="H300" s="174">
        <v>3247</v>
      </c>
      <c r="I300" s="174">
        <v>253.89</v>
      </c>
      <c r="J300" s="261">
        <f t="shared" ref="J300:J328" si="40">+F300-G300</f>
        <v>127224.558678</v>
      </c>
      <c r="K300" s="175">
        <f t="shared" ref="K300:K328" si="41">J300/H300</f>
        <v>39.182186226670773</v>
      </c>
      <c r="L300" s="176">
        <f t="shared" ref="L300:L328" si="42">G300/F300</f>
        <v>3.5576384548325325E-2</v>
      </c>
      <c r="M300" s="429">
        <f t="shared" ref="M300:M328" si="43">H300/I300</f>
        <v>12.789003111583757</v>
      </c>
      <c r="N300" s="425"/>
      <c r="O300" s="172"/>
      <c r="P300" s="2"/>
      <c r="R300" s="2"/>
      <c r="S300" s="2"/>
    </row>
    <row r="301" spans="1:19" customFormat="1" x14ac:dyDescent="0.25">
      <c r="A301" s="170" t="s">
        <v>77</v>
      </c>
      <c r="B301" s="171">
        <v>156</v>
      </c>
      <c r="C301" s="171"/>
      <c r="D301" s="172" t="s">
        <v>46</v>
      </c>
      <c r="E301" s="171" t="s">
        <v>23</v>
      </c>
      <c r="F301" s="173">
        <v>30820.423460000002</v>
      </c>
      <c r="G301" s="173">
        <v>741.68312360000004</v>
      </c>
      <c r="H301" s="174">
        <v>380</v>
      </c>
      <c r="I301" s="174">
        <v>73.28</v>
      </c>
      <c r="J301" s="261">
        <f t="shared" si="40"/>
        <v>30078.740336400002</v>
      </c>
      <c r="K301" s="175">
        <f t="shared" si="41"/>
        <v>79.154579832631583</v>
      </c>
      <c r="L301" s="176">
        <f t="shared" si="42"/>
        <v>2.4064663633275075E-2</v>
      </c>
      <c r="M301" s="429">
        <f t="shared" si="43"/>
        <v>5.1855895196506552</v>
      </c>
      <c r="N301" s="425"/>
      <c r="O301" s="172"/>
      <c r="P301" s="5"/>
      <c r="R301" s="5"/>
      <c r="S301" s="7"/>
    </row>
    <row r="302" spans="1:19" customFormat="1" x14ac:dyDescent="0.25">
      <c r="A302" s="170" t="s">
        <v>77</v>
      </c>
      <c r="B302" s="172">
        <v>765</v>
      </c>
      <c r="C302" s="172"/>
      <c r="D302" s="172" t="s">
        <v>46</v>
      </c>
      <c r="E302" s="172" t="s">
        <v>23</v>
      </c>
      <c r="F302" s="173">
        <v>98099.269159999996</v>
      </c>
      <c r="G302" s="173">
        <v>3085.2915069999999</v>
      </c>
      <c r="H302" s="174">
        <v>2199</v>
      </c>
      <c r="I302" s="174">
        <v>195.3</v>
      </c>
      <c r="J302" s="261">
        <f t="shared" si="40"/>
        <v>95013.977652999994</v>
      </c>
      <c r="K302" s="175">
        <f t="shared" si="41"/>
        <v>43.207811574806726</v>
      </c>
      <c r="L302" s="176">
        <f t="shared" si="42"/>
        <v>3.1450708383646435E-2</v>
      </c>
      <c r="M302" s="429">
        <f t="shared" si="43"/>
        <v>11.259600614439323</v>
      </c>
      <c r="N302" s="425"/>
      <c r="O302" s="172"/>
    </row>
    <row r="303" spans="1:19" customFormat="1" x14ac:dyDescent="0.25">
      <c r="A303" s="170" t="s">
        <v>77</v>
      </c>
      <c r="B303" s="172">
        <v>94</v>
      </c>
      <c r="C303" s="172"/>
      <c r="D303" s="172" t="s">
        <v>46</v>
      </c>
      <c r="E303" s="172" t="s">
        <v>43</v>
      </c>
      <c r="F303" s="173">
        <v>550201.36840000004</v>
      </c>
      <c r="G303" s="173">
        <v>21439.880929999999</v>
      </c>
      <c r="H303" s="174">
        <v>19059</v>
      </c>
      <c r="I303" s="174">
        <v>986</v>
      </c>
      <c r="J303" s="261">
        <f t="shared" si="40"/>
        <v>528761.48747000005</v>
      </c>
      <c r="K303" s="175">
        <f t="shared" si="41"/>
        <v>27.743401409832629</v>
      </c>
      <c r="L303" s="176">
        <f t="shared" si="42"/>
        <v>3.8967334800252738E-2</v>
      </c>
      <c r="M303" s="429">
        <f t="shared" si="43"/>
        <v>19.329614604462474</v>
      </c>
      <c r="N303" s="425"/>
      <c r="O303" s="172"/>
    </row>
    <row r="304" spans="1:19" customFormat="1" x14ac:dyDescent="0.25">
      <c r="A304" s="170" t="s">
        <v>77</v>
      </c>
      <c r="B304" s="171">
        <v>94</v>
      </c>
      <c r="C304" s="171"/>
      <c r="D304" s="172" t="s">
        <v>46</v>
      </c>
      <c r="E304" s="171" t="s">
        <v>44</v>
      </c>
      <c r="F304" s="173">
        <v>530905.18629999994</v>
      </c>
      <c r="G304" s="173">
        <v>18839.854210000001</v>
      </c>
      <c r="H304" s="174">
        <v>16672</v>
      </c>
      <c r="I304" s="174">
        <v>936.59</v>
      </c>
      <c r="J304" s="261">
        <f t="shared" si="40"/>
        <v>512065.33208999992</v>
      </c>
      <c r="K304" s="175">
        <f t="shared" si="41"/>
        <v>30.714091416146829</v>
      </c>
      <c r="L304" s="176">
        <f t="shared" si="42"/>
        <v>3.5486287751866331E-2</v>
      </c>
      <c r="M304" s="429">
        <f t="shared" si="43"/>
        <v>17.800745256729197</v>
      </c>
      <c r="N304" s="425"/>
      <c r="O304" s="172"/>
    </row>
    <row r="305" spans="1:18" customFormat="1" x14ac:dyDescent="0.25">
      <c r="A305" s="170" t="s">
        <v>77</v>
      </c>
      <c r="B305" s="172">
        <v>67</v>
      </c>
      <c r="C305" s="172"/>
      <c r="D305" s="172" t="s">
        <v>14</v>
      </c>
      <c r="E305" s="172" t="s">
        <v>43</v>
      </c>
      <c r="F305" s="261">
        <v>490677.19130000001</v>
      </c>
      <c r="G305" s="261">
        <v>14145.294825999999</v>
      </c>
      <c r="H305" s="313">
        <v>21429</v>
      </c>
      <c r="I305" s="313">
        <v>2036.8600000000001</v>
      </c>
      <c r="J305" s="261">
        <f t="shared" si="40"/>
        <v>476531.89647400001</v>
      </c>
      <c r="K305" s="175">
        <f t="shared" si="41"/>
        <v>22.237710414578377</v>
      </c>
      <c r="L305" s="177">
        <f t="shared" si="42"/>
        <v>2.8828107515092478E-2</v>
      </c>
      <c r="M305" s="178">
        <f t="shared" si="43"/>
        <v>10.520605245328593</v>
      </c>
      <c r="N305" s="426"/>
      <c r="O305" s="200"/>
    </row>
    <row r="306" spans="1:18" customFormat="1" x14ac:dyDescent="0.25">
      <c r="A306" s="170" t="s">
        <v>77</v>
      </c>
      <c r="B306" s="172">
        <v>67</v>
      </c>
      <c r="C306" s="172"/>
      <c r="D306" s="172" t="s">
        <v>14</v>
      </c>
      <c r="E306" s="172" t="s">
        <v>44</v>
      </c>
      <c r="F306" s="261">
        <v>496163.46179999999</v>
      </c>
      <c r="G306" s="261">
        <v>12069.520524</v>
      </c>
      <c r="H306" s="313">
        <v>19296</v>
      </c>
      <c r="I306" s="313">
        <v>2017.7</v>
      </c>
      <c r="J306" s="261">
        <f t="shared" si="40"/>
        <v>484093.941276</v>
      </c>
      <c r="K306" s="175">
        <f t="shared" si="41"/>
        <v>25.087787172263681</v>
      </c>
      <c r="L306" s="177">
        <f t="shared" si="42"/>
        <v>2.432569395620901E-2</v>
      </c>
      <c r="M306" s="178">
        <f t="shared" si="43"/>
        <v>9.5633642265946364</v>
      </c>
      <c r="N306" s="426"/>
      <c r="O306" s="200"/>
    </row>
    <row r="307" spans="1:18" customFormat="1" x14ac:dyDescent="0.25">
      <c r="A307" s="170" t="s">
        <v>77</v>
      </c>
      <c r="B307" s="172">
        <v>67</v>
      </c>
      <c r="C307" s="172"/>
      <c r="D307" s="172" t="s">
        <v>14</v>
      </c>
      <c r="E307" s="172" t="s">
        <v>23</v>
      </c>
      <c r="F307" s="261">
        <v>3014723.6159999999</v>
      </c>
      <c r="G307" s="261">
        <v>132686.00185</v>
      </c>
      <c r="H307" s="313">
        <v>162803</v>
      </c>
      <c r="I307" s="313">
        <v>12438.930000000009</v>
      </c>
      <c r="J307" s="261">
        <f t="shared" si="40"/>
        <v>2882037.6141499998</v>
      </c>
      <c r="K307" s="175">
        <f t="shared" si="41"/>
        <v>17.702607532723597</v>
      </c>
      <c r="L307" s="177">
        <f t="shared" si="42"/>
        <v>4.4012658787624004E-2</v>
      </c>
      <c r="M307" s="178">
        <f t="shared" si="43"/>
        <v>13.088183629942437</v>
      </c>
      <c r="N307" s="426"/>
      <c r="O307" s="200"/>
    </row>
    <row r="308" spans="1:18" customFormat="1" x14ac:dyDescent="0.25">
      <c r="A308" s="170" t="s">
        <v>77</v>
      </c>
      <c r="B308" s="172">
        <v>61</v>
      </c>
      <c r="C308" s="172"/>
      <c r="D308" s="172" t="s">
        <v>14</v>
      </c>
      <c r="E308" s="172" t="s">
        <v>44</v>
      </c>
      <c r="F308" s="261">
        <v>395779.39850000001</v>
      </c>
      <c r="G308" s="261">
        <v>12006.06184</v>
      </c>
      <c r="H308" s="313">
        <v>16919</v>
      </c>
      <c r="I308" s="313">
        <v>1219.74</v>
      </c>
      <c r="J308" s="261">
        <f t="shared" si="40"/>
        <v>383773.33666000003</v>
      </c>
      <c r="K308" s="175">
        <f t="shared" si="41"/>
        <v>22.682979884153912</v>
      </c>
      <c r="L308" s="177">
        <f t="shared" si="42"/>
        <v>3.0335236966610328E-2</v>
      </c>
      <c r="M308" s="178">
        <f t="shared" si="43"/>
        <v>13.870988899273616</v>
      </c>
      <c r="N308" s="426"/>
      <c r="O308" s="200"/>
    </row>
    <row r="309" spans="1:18" customFormat="1" x14ac:dyDescent="0.25">
      <c r="A309" s="335" t="s">
        <v>77</v>
      </c>
      <c r="B309" s="172">
        <v>345</v>
      </c>
      <c r="C309" s="261"/>
      <c r="D309" s="261" t="s">
        <v>16</v>
      </c>
      <c r="E309" s="261" t="s">
        <v>23</v>
      </c>
      <c r="F309" s="261">
        <v>45363</v>
      </c>
      <c r="G309" s="261">
        <v>157</v>
      </c>
      <c r="H309" s="313">
        <v>717</v>
      </c>
      <c r="I309" s="313">
        <v>367.2</v>
      </c>
      <c r="J309" s="261">
        <f t="shared" si="40"/>
        <v>45206</v>
      </c>
      <c r="K309" s="175">
        <f t="shared" si="41"/>
        <v>63.048814504881449</v>
      </c>
      <c r="L309" s="177">
        <f t="shared" si="42"/>
        <v>3.4609703943742696E-3</v>
      </c>
      <c r="M309" s="178">
        <f t="shared" si="43"/>
        <v>1.9526143790849675</v>
      </c>
      <c r="N309" s="425" t="s">
        <v>89</v>
      </c>
      <c r="O309" s="172"/>
    </row>
    <row r="310" spans="1:18" customFormat="1" x14ac:dyDescent="0.25">
      <c r="A310" s="335" t="s">
        <v>77</v>
      </c>
      <c r="B310" s="172">
        <v>345</v>
      </c>
      <c r="C310" s="261"/>
      <c r="D310" s="261" t="s">
        <v>16</v>
      </c>
      <c r="E310" s="261" t="s">
        <v>43</v>
      </c>
      <c r="F310" s="261">
        <v>12563</v>
      </c>
      <c r="G310" s="261">
        <v>48</v>
      </c>
      <c r="H310" s="313">
        <v>133</v>
      </c>
      <c r="I310" s="313">
        <v>97.5</v>
      </c>
      <c r="J310" s="261">
        <f t="shared" si="40"/>
        <v>12515</v>
      </c>
      <c r="K310" s="175">
        <f t="shared" si="41"/>
        <v>94.097744360902254</v>
      </c>
      <c r="L310" s="177">
        <f t="shared" si="42"/>
        <v>3.8207434529968958E-3</v>
      </c>
      <c r="M310" s="178">
        <f t="shared" si="43"/>
        <v>1.3641025641025641</v>
      </c>
      <c r="N310" s="425" t="s">
        <v>89</v>
      </c>
      <c r="O310" s="172"/>
    </row>
    <row r="311" spans="1:18" customFormat="1" x14ac:dyDescent="0.25">
      <c r="A311" s="335" t="s">
        <v>77</v>
      </c>
      <c r="B311" s="172">
        <v>345</v>
      </c>
      <c r="C311" s="261"/>
      <c r="D311" s="261" t="s">
        <v>16</v>
      </c>
      <c r="E311" s="261" t="s">
        <v>44</v>
      </c>
      <c r="F311" s="261">
        <v>12555</v>
      </c>
      <c r="G311" s="261">
        <v>21</v>
      </c>
      <c r="H311" s="313">
        <v>155</v>
      </c>
      <c r="I311" s="313">
        <v>96.5</v>
      </c>
      <c r="J311" s="261">
        <f t="shared" si="40"/>
        <v>12534</v>
      </c>
      <c r="K311" s="175">
        <f t="shared" si="41"/>
        <v>80.864516129032253</v>
      </c>
      <c r="L311" s="177">
        <f t="shared" si="42"/>
        <v>1.6726403823178017E-3</v>
      </c>
      <c r="M311" s="178">
        <f t="shared" si="43"/>
        <v>1.6062176165803108</v>
      </c>
      <c r="N311" s="425" t="s">
        <v>89</v>
      </c>
      <c r="O311" s="172"/>
    </row>
    <row r="312" spans="1:18" customFormat="1" x14ac:dyDescent="0.25">
      <c r="A312" s="335" t="s">
        <v>8</v>
      </c>
      <c r="B312" s="172">
        <v>436</v>
      </c>
      <c r="C312" s="261"/>
      <c r="D312" s="261" t="s">
        <v>16</v>
      </c>
      <c r="E312" s="261" t="s">
        <v>43</v>
      </c>
      <c r="F312" s="261">
        <v>68785.5</v>
      </c>
      <c r="G312" s="261">
        <v>997.92</v>
      </c>
      <c r="H312" s="313">
        <v>569</v>
      </c>
      <c r="I312" s="313">
        <v>337.63</v>
      </c>
      <c r="J312" s="261">
        <f t="shared" si="40"/>
        <v>67787.58</v>
      </c>
      <c r="K312" s="175">
        <f t="shared" si="41"/>
        <v>119.1345869947276</v>
      </c>
      <c r="L312" s="336">
        <f t="shared" si="42"/>
        <v>1.450770874675622E-2</v>
      </c>
      <c r="M312" s="178">
        <f t="shared" si="43"/>
        <v>1.6852767822764565</v>
      </c>
      <c r="N312" s="425" t="s">
        <v>119</v>
      </c>
      <c r="O312" s="368"/>
    </row>
    <row r="313" spans="1:18" customFormat="1" x14ac:dyDescent="0.25">
      <c r="A313" s="335" t="s">
        <v>8</v>
      </c>
      <c r="B313" s="172">
        <v>436</v>
      </c>
      <c r="C313" s="261"/>
      <c r="D313" s="261" t="s">
        <v>16</v>
      </c>
      <c r="E313" s="261" t="s">
        <v>44</v>
      </c>
      <c r="F313" s="261">
        <v>65186.37</v>
      </c>
      <c r="G313" s="261">
        <v>766.41</v>
      </c>
      <c r="H313" s="313">
        <v>437</v>
      </c>
      <c r="I313" s="313">
        <v>319.86</v>
      </c>
      <c r="J313" s="261">
        <f t="shared" si="40"/>
        <v>64419.96</v>
      </c>
      <c r="K313" s="175">
        <f t="shared" si="41"/>
        <v>147.41409610983982</v>
      </c>
      <c r="L313" s="336">
        <f t="shared" si="42"/>
        <v>1.1757212435667148E-2</v>
      </c>
      <c r="M313" s="178">
        <f t="shared" si="43"/>
        <v>1.3662227224410679</v>
      </c>
      <c r="N313" s="425" t="s">
        <v>118</v>
      </c>
      <c r="O313" s="368"/>
    </row>
    <row r="314" spans="1:18" customFormat="1" x14ac:dyDescent="0.25">
      <c r="A314" s="335" t="s">
        <v>24</v>
      </c>
      <c r="B314" s="172">
        <v>686</v>
      </c>
      <c r="C314" s="261"/>
      <c r="D314" s="261" t="s">
        <v>16</v>
      </c>
      <c r="E314" s="261" t="s">
        <v>23</v>
      </c>
      <c r="F314" s="261">
        <v>1734869.2279646406</v>
      </c>
      <c r="G314" s="261">
        <v>52564</v>
      </c>
      <c r="H314" s="313">
        <v>24403</v>
      </c>
      <c r="I314" s="313">
        <v>10088.11</v>
      </c>
      <c r="J314" s="261">
        <f t="shared" si="40"/>
        <v>1682305.2279646406</v>
      </c>
      <c r="K314" s="175">
        <f t="shared" si="41"/>
        <v>68.938459532214921</v>
      </c>
      <c r="L314" s="336">
        <f t="shared" si="42"/>
        <v>3.0298537291867475E-2</v>
      </c>
      <c r="M314" s="178">
        <f t="shared" si="43"/>
        <v>2.418986311608418</v>
      </c>
      <c r="N314" s="425" t="s">
        <v>128</v>
      </c>
      <c r="O314" s="200"/>
    </row>
    <row r="315" spans="1:18" customFormat="1" ht="15.75" x14ac:dyDescent="0.25">
      <c r="A315" s="335" t="s">
        <v>24</v>
      </c>
      <c r="B315" s="172">
        <v>686</v>
      </c>
      <c r="C315" s="261"/>
      <c r="D315" s="261" t="s">
        <v>16</v>
      </c>
      <c r="E315" s="261" t="s">
        <v>43</v>
      </c>
      <c r="F315" s="261">
        <v>191437.9436282989</v>
      </c>
      <c r="G315" s="261">
        <v>6869</v>
      </c>
      <c r="H315" s="313">
        <v>3189</v>
      </c>
      <c r="I315" s="313">
        <v>1100.19</v>
      </c>
      <c r="J315" s="261">
        <f t="shared" si="40"/>
        <v>184568.9436282989</v>
      </c>
      <c r="K315" s="175">
        <f t="shared" si="41"/>
        <v>57.876746198902133</v>
      </c>
      <c r="L315" s="336">
        <f t="shared" si="42"/>
        <v>3.5881079110090301E-2</v>
      </c>
      <c r="M315" s="178">
        <f t="shared" si="43"/>
        <v>2.8985902435033948</v>
      </c>
      <c r="N315" s="425" t="s">
        <v>128</v>
      </c>
      <c r="O315" s="200"/>
      <c r="R315" s="136"/>
    </row>
    <row r="316" spans="1:18" customFormat="1" ht="15.75" x14ac:dyDescent="0.25">
      <c r="A316" s="335" t="s">
        <v>24</v>
      </c>
      <c r="B316" s="172">
        <v>686</v>
      </c>
      <c r="C316" s="261"/>
      <c r="D316" s="261" t="s">
        <v>16</v>
      </c>
      <c r="E316" s="261" t="s">
        <v>44</v>
      </c>
      <c r="F316" s="261">
        <v>186529.27840706048</v>
      </c>
      <c r="G316" s="261">
        <v>2696</v>
      </c>
      <c r="H316" s="313">
        <v>2644</v>
      </c>
      <c r="I316" s="313">
        <v>1071.98</v>
      </c>
      <c r="J316" s="261">
        <f t="shared" si="40"/>
        <v>183833.27840706048</v>
      </c>
      <c r="K316" s="175">
        <f t="shared" si="41"/>
        <v>69.528471409629532</v>
      </c>
      <c r="L316" s="336">
        <f t="shared" si="42"/>
        <v>1.4453495038545924E-2</v>
      </c>
      <c r="M316" s="178">
        <f t="shared" si="43"/>
        <v>2.4664639265657939</v>
      </c>
      <c r="N316" s="425" t="s">
        <v>128</v>
      </c>
      <c r="O316" s="200"/>
      <c r="R316" s="136"/>
    </row>
    <row r="317" spans="1:18" customFormat="1" ht="15.75" x14ac:dyDescent="0.25">
      <c r="A317" s="335" t="s">
        <v>77</v>
      </c>
      <c r="B317" s="172">
        <v>725</v>
      </c>
      <c r="C317" s="261"/>
      <c r="D317" s="261" t="s">
        <v>16</v>
      </c>
      <c r="E317" s="261" t="s">
        <v>23</v>
      </c>
      <c r="F317" s="261">
        <v>51963</v>
      </c>
      <c r="G317" s="261">
        <v>354</v>
      </c>
      <c r="H317" s="313">
        <v>1184</v>
      </c>
      <c r="I317" s="313">
        <v>430.2</v>
      </c>
      <c r="J317" s="261">
        <f t="shared" si="40"/>
        <v>51609</v>
      </c>
      <c r="K317" s="175">
        <f t="shared" si="41"/>
        <v>43.588682432432435</v>
      </c>
      <c r="L317" s="177">
        <f t="shared" si="42"/>
        <v>6.8125396917037119E-3</v>
      </c>
      <c r="M317" s="178">
        <f t="shared" si="43"/>
        <v>2.7522082752208274</v>
      </c>
      <c r="N317" s="425" t="s">
        <v>89</v>
      </c>
      <c r="O317" s="172"/>
      <c r="R317" s="136"/>
    </row>
    <row r="318" spans="1:18" customFormat="1" x14ac:dyDescent="0.25">
      <c r="A318" s="335" t="s">
        <v>77</v>
      </c>
      <c r="B318" s="172">
        <v>725</v>
      </c>
      <c r="C318" s="261"/>
      <c r="D318" s="261" t="s">
        <v>16</v>
      </c>
      <c r="E318" s="261" t="s">
        <v>43</v>
      </c>
      <c r="F318" s="261">
        <v>14426</v>
      </c>
      <c r="G318" s="261">
        <v>59</v>
      </c>
      <c r="H318" s="313">
        <v>68</v>
      </c>
      <c r="I318" s="313">
        <v>110.5</v>
      </c>
      <c r="J318" s="261">
        <f t="shared" si="40"/>
        <v>14367</v>
      </c>
      <c r="K318" s="175">
        <f t="shared" si="41"/>
        <v>211.27941176470588</v>
      </c>
      <c r="L318" s="177">
        <f t="shared" si="42"/>
        <v>4.0898377928739772E-3</v>
      </c>
      <c r="M318" s="178">
        <f t="shared" si="43"/>
        <v>0.61538461538461542</v>
      </c>
      <c r="N318" s="425" t="s">
        <v>89</v>
      </c>
      <c r="O318" s="172"/>
    </row>
    <row r="319" spans="1:18" customFormat="1" x14ac:dyDescent="0.25">
      <c r="A319" s="335" t="s">
        <v>77</v>
      </c>
      <c r="B319" s="172">
        <v>725</v>
      </c>
      <c r="C319" s="261"/>
      <c r="D319" s="261" t="s">
        <v>16</v>
      </c>
      <c r="E319" s="261" t="s">
        <v>44</v>
      </c>
      <c r="F319" s="261">
        <v>14426</v>
      </c>
      <c r="G319" s="261">
        <v>39</v>
      </c>
      <c r="H319" s="313">
        <v>151</v>
      </c>
      <c r="I319" s="313">
        <v>113</v>
      </c>
      <c r="J319" s="261">
        <f t="shared" si="40"/>
        <v>14387</v>
      </c>
      <c r="K319" s="175">
        <f t="shared" si="41"/>
        <v>95.278145695364245</v>
      </c>
      <c r="L319" s="177">
        <f t="shared" si="42"/>
        <v>2.7034521003743242E-3</v>
      </c>
      <c r="M319" s="178">
        <f t="shared" si="43"/>
        <v>1.336283185840708</v>
      </c>
      <c r="N319" s="425" t="s">
        <v>89</v>
      </c>
      <c r="O319" s="172"/>
    </row>
    <row r="320" spans="1:18" customFormat="1" ht="15.75" x14ac:dyDescent="0.25">
      <c r="A320" s="170" t="s">
        <v>77</v>
      </c>
      <c r="B320" s="172">
        <v>922</v>
      </c>
      <c r="C320" s="172" t="s">
        <v>90</v>
      </c>
      <c r="D320" s="172" t="s">
        <v>65</v>
      </c>
      <c r="E320" s="172" t="s">
        <v>43</v>
      </c>
      <c r="F320" s="175">
        <v>1952234.6529999999</v>
      </c>
      <c r="G320" s="288">
        <v>75328.027350000004</v>
      </c>
      <c r="H320" s="289">
        <v>231762</v>
      </c>
      <c r="I320" s="264">
        <v>5824.65</v>
      </c>
      <c r="J320" s="261">
        <f t="shared" si="40"/>
        <v>1876906.6256499998</v>
      </c>
      <c r="K320" s="175">
        <f t="shared" si="41"/>
        <v>8.0984226303276632</v>
      </c>
      <c r="L320" s="177">
        <f t="shared" si="42"/>
        <v>3.8585539517108455E-2</v>
      </c>
      <c r="M320" s="380">
        <f t="shared" si="43"/>
        <v>39.789858618114394</v>
      </c>
      <c r="N320" s="427" t="s">
        <v>121</v>
      </c>
      <c r="O320" s="200"/>
    </row>
    <row r="321" spans="1:19" customFormat="1" ht="15.75" x14ac:dyDescent="0.25">
      <c r="A321" s="170" t="s">
        <v>77</v>
      </c>
      <c r="B321" s="172">
        <v>922</v>
      </c>
      <c r="C321" s="172" t="s">
        <v>90</v>
      </c>
      <c r="D321" s="172" t="s">
        <v>65</v>
      </c>
      <c r="E321" s="172" t="s">
        <v>44</v>
      </c>
      <c r="F321" s="175">
        <v>2097397.6060000001</v>
      </c>
      <c r="G321" s="288">
        <v>70668.806630000006</v>
      </c>
      <c r="H321" s="289">
        <v>231608</v>
      </c>
      <c r="I321" s="264">
        <v>6209.28</v>
      </c>
      <c r="J321" s="261">
        <f t="shared" si="40"/>
        <v>2026728.7993700001</v>
      </c>
      <c r="K321" s="175">
        <f t="shared" si="41"/>
        <v>8.7506856385358027</v>
      </c>
      <c r="L321" s="176">
        <f t="shared" si="42"/>
        <v>3.3693566936397086E-2</v>
      </c>
      <c r="M321" s="380">
        <f t="shared" si="43"/>
        <v>37.300298907441764</v>
      </c>
      <c r="N321" s="427" t="s">
        <v>121</v>
      </c>
      <c r="O321" s="200"/>
    </row>
    <row r="322" spans="1:19" customFormat="1" ht="15.75" x14ac:dyDescent="0.25">
      <c r="A322" s="170" t="s">
        <v>77</v>
      </c>
      <c r="B322" s="172">
        <v>922</v>
      </c>
      <c r="C322" s="172" t="s">
        <v>90</v>
      </c>
      <c r="D322" s="172" t="s">
        <v>65</v>
      </c>
      <c r="E322" s="172" t="s">
        <v>23</v>
      </c>
      <c r="F322" s="175">
        <v>10124967.4</v>
      </c>
      <c r="G322" s="288">
        <v>501787.55190000002</v>
      </c>
      <c r="H322" s="289">
        <v>1382575</v>
      </c>
      <c r="I322" s="264">
        <v>29914.2399999999</v>
      </c>
      <c r="J322" s="261">
        <f t="shared" si="40"/>
        <v>9623179.848100001</v>
      </c>
      <c r="K322" s="175">
        <f t="shared" si="41"/>
        <v>6.9603311560674834</v>
      </c>
      <c r="L322" s="176">
        <f t="shared" si="42"/>
        <v>4.955942395429342E-2</v>
      </c>
      <c r="M322" s="380">
        <f t="shared" si="43"/>
        <v>46.217955060867489</v>
      </c>
      <c r="N322" s="427" t="s">
        <v>121</v>
      </c>
      <c r="O322" s="200"/>
    </row>
    <row r="323" spans="1:19" customFormat="1" ht="15.75" x14ac:dyDescent="0.25">
      <c r="A323" s="170" t="s">
        <v>77</v>
      </c>
      <c r="B323" s="172">
        <v>925</v>
      </c>
      <c r="C323" s="172" t="s">
        <v>91</v>
      </c>
      <c r="D323" s="172" t="s">
        <v>65</v>
      </c>
      <c r="E323" s="172" t="s">
        <v>43</v>
      </c>
      <c r="F323" s="175">
        <v>221672.1721</v>
      </c>
      <c r="G323" s="288">
        <v>6457.7545749999999</v>
      </c>
      <c r="H323" s="289">
        <v>15573</v>
      </c>
      <c r="I323" s="264">
        <v>644.12</v>
      </c>
      <c r="J323" s="261">
        <f t="shared" si="40"/>
        <v>215214.417525</v>
      </c>
      <c r="K323" s="175">
        <f t="shared" si="41"/>
        <v>13.819714732228858</v>
      </c>
      <c r="L323" s="176">
        <f t="shared" si="42"/>
        <v>2.9132003867796269E-2</v>
      </c>
      <c r="M323" s="429">
        <f t="shared" si="43"/>
        <v>24.177171955536235</v>
      </c>
      <c r="N323" s="427" t="s">
        <v>120</v>
      </c>
      <c r="O323" s="200"/>
      <c r="P323" s="5"/>
      <c r="R323" s="5"/>
      <c r="S323" s="7"/>
    </row>
    <row r="324" spans="1:19" customFormat="1" ht="15.75" x14ac:dyDescent="0.25">
      <c r="A324" s="170" t="s">
        <v>77</v>
      </c>
      <c r="B324" s="172">
        <v>925</v>
      </c>
      <c r="C324" s="172" t="s">
        <v>91</v>
      </c>
      <c r="D324" s="172" t="s">
        <v>65</v>
      </c>
      <c r="E324" s="172" t="s">
        <v>44</v>
      </c>
      <c r="F324" s="175">
        <v>276409.93160000001</v>
      </c>
      <c r="G324" s="288">
        <v>7818.5320760000004</v>
      </c>
      <c r="H324" s="289">
        <v>13261</v>
      </c>
      <c r="I324" s="264">
        <v>805.15</v>
      </c>
      <c r="J324" s="261">
        <f t="shared" si="40"/>
        <v>268591.39952400001</v>
      </c>
      <c r="K324" s="175">
        <f t="shared" si="41"/>
        <v>20.254234184752281</v>
      </c>
      <c r="L324" s="176">
        <f t="shared" si="42"/>
        <v>2.8286002716119481E-2</v>
      </c>
      <c r="M324" s="429">
        <f t="shared" si="43"/>
        <v>16.470222939824879</v>
      </c>
      <c r="N324" s="427" t="s">
        <v>120</v>
      </c>
      <c r="O324" s="200"/>
      <c r="P324" s="5"/>
      <c r="R324" s="5"/>
      <c r="S324" s="7"/>
    </row>
    <row r="325" spans="1:19" customFormat="1" ht="15.75" x14ac:dyDescent="0.25">
      <c r="A325" s="170" t="s">
        <v>77</v>
      </c>
      <c r="B325" s="172">
        <v>925</v>
      </c>
      <c r="C325" s="172" t="s">
        <v>91</v>
      </c>
      <c r="D325" s="172" t="s">
        <v>65</v>
      </c>
      <c r="E325" s="172" t="s">
        <v>23</v>
      </c>
      <c r="F325" s="175">
        <v>1059850.679</v>
      </c>
      <c r="G325" s="288">
        <v>57571.747369999997</v>
      </c>
      <c r="H325" s="289">
        <v>77123</v>
      </c>
      <c r="I325" s="264">
        <v>3145.03</v>
      </c>
      <c r="J325" s="261">
        <f t="shared" si="40"/>
        <v>1002278.93163</v>
      </c>
      <c r="K325" s="175">
        <f t="shared" si="41"/>
        <v>12.995849897306899</v>
      </c>
      <c r="L325" s="176">
        <f t="shared" si="42"/>
        <v>5.4320621301408814E-2</v>
      </c>
      <c r="M325" s="429">
        <f t="shared" si="43"/>
        <v>24.522182618289808</v>
      </c>
      <c r="N325" s="427" t="s">
        <v>120</v>
      </c>
      <c r="O325" s="200"/>
      <c r="P325" s="5"/>
      <c r="R325" s="5"/>
      <c r="S325" s="7"/>
    </row>
    <row r="326" spans="1:19" customFormat="1" x14ac:dyDescent="0.25">
      <c r="A326" s="170" t="s">
        <v>77</v>
      </c>
      <c r="B326" s="172">
        <v>905</v>
      </c>
      <c r="C326" s="172" t="s">
        <v>92</v>
      </c>
      <c r="D326" s="172" t="s">
        <v>93</v>
      </c>
      <c r="E326" s="176" t="s">
        <v>43</v>
      </c>
      <c r="F326" s="175">
        <v>1190636.5109999999</v>
      </c>
      <c r="G326" s="175">
        <v>35716.779280000002</v>
      </c>
      <c r="H326" s="313">
        <v>44218</v>
      </c>
      <c r="I326" s="264">
        <v>3123.79</v>
      </c>
      <c r="J326" s="261">
        <f t="shared" si="40"/>
        <v>1154919.73172</v>
      </c>
      <c r="K326" s="430">
        <f t="shared" si="41"/>
        <v>26.118769092224888</v>
      </c>
      <c r="L326" s="176">
        <f t="shared" si="42"/>
        <v>2.9998054779961307E-2</v>
      </c>
      <c r="M326" s="380">
        <f t="shared" si="43"/>
        <v>14.155240909280073</v>
      </c>
      <c r="N326" s="431" t="s">
        <v>122</v>
      </c>
      <c r="O326" s="12"/>
    </row>
    <row r="327" spans="1:19" customFormat="1" ht="15" customHeight="1" x14ac:dyDescent="0.25">
      <c r="A327" s="170" t="s">
        <v>77</v>
      </c>
      <c r="B327" s="172">
        <v>905</v>
      </c>
      <c r="C327" s="172" t="s">
        <v>92</v>
      </c>
      <c r="D327" s="172" t="s">
        <v>93</v>
      </c>
      <c r="E327" s="172" t="s">
        <v>44</v>
      </c>
      <c r="F327" s="175">
        <v>1337107.425</v>
      </c>
      <c r="G327" s="175">
        <v>29142.817129999999</v>
      </c>
      <c r="H327" s="313">
        <v>39407</v>
      </c>
      <c r="I327" s="264">
        <v>3504.74</v>
      </c>
      <c r="J327" s="261">
        <f t="shared" si="40"/>
        <v>1307964.6078699999</v>
      </c>
      <c r="K327" s="430">
        <f t="shared" si="41"/>
        <v>33.191174356586394</v>
      </c>
      <c r="L327" s="176">
        <f t="shared" si="42"/>
        <v>2.1795419414412421E-2</v>
      </c>
      <c r="M327" s="380">
        <f t="shared" si="43"/>
        <v>11.243915383166797</v>
      </c>
      <c r="N327" s="431" t="s">
        <v>122</v>
      </c>
      <c r="O327" s="12"/>
    </row>
    <row r="328" spans="1:19" customFormat="1" x14ac:dyDescent="0.25">
      <c r="A328" s="170" t="s">
        <v>77</v>
      </c>
      <c r="B328" s="172">
        <v>905</v>
      </c>
      <c r="C328" s="172" t="s">
        <v>92</v>
      </c>
      <c r="D328" s="172" t="s">
        <v>93</v>
      </c>
      <c r="E328" s="176" t="s">
        <v>23</v>
      </c>
      <c r="F328" s="175">
        <v>7894212.0640000002</v>
      </c>
      <c r="G328" s="175">
        <v>216139.40359999999</v>
      </c>
      <c r="H328" s="313">
        <v>280166</v>
      </c>
      <c r="I328" s="313">
        <v>21663.38</v>
      </c>
      <c r="J328" s="261">
        <f t="shared" si="40"/>
        <v>7678072.6604000004</v>
      </c>
      <c r="K328" s="430">
        <f t="shared" si="41"/>
        <v>27.405440561667014</v>
      </c>
      <c r="L328" s="176">
        <f t="shared" si="42"/>
        <v>2.7379477755058189E-2</v>
      </c>
      <c r="M328" s="380">
        <f t="shared" si="43"/>
        <v>12.932700252684484</v>
      </c>
      <c r="N328" s="431" t="s">
        <v>122</v>
      </c>
      <c r="O328" s="12"/>
    </row>
    <row r="329" spans="1:19" customFormat="1" ht="15.75" customHeight="1" x14ac:dyDescent="0.25">
      <c r="A329" s="170" t="s">
        <v>8</v>
      </c>
      <c r="B329" s="172" t="s">
        <v>25</v>
      </c>
      <c r="C329" s="358" t="s">
        <v>135</v>
      </c>
      <c r="D329" s="172" t="s">
        <v>58</v>
      </c>
      <c r="E329" s="172" t="s">
        <v>23</v>
      </c>
      <c r="F329" s="433">
        <v>1078053.6000000001</v>
      </c>
      <c r="G329" s="261">
        <v>25804.22</v>
      </c>
      <c r="H329" s="354">
        <v>10018</v>
      </c>
      <c r="I329" s="355">
        <v>5300.75</v>
      </c>
      <c r="J329" s="261">
        <f t="shared" ref="J329:J341" si="44">+F329-G329</f>
        <v>1052249.3800000001</v>
      </c>
      <c r="K329" s="430">
        <f t="shared" ref="K329:K341" si="45">J329/H329</f>
        <v>105.03587342782991</v>
      </c>
      <c r="L329" s="176">
        <f t="shared" ref="L329:L341" si="46">G329/F329</f>
        <v>2.393593416876489E-2</v>
      </c>
      <c r="M329" s="380">
        <f t="shared" ref="M329:M341" si="47">H329/I329</f>
        <v>1.8899212375607226</v>
      </c>
      <c r="N329" s="180" t="s">
        <v>148</v>
      </c>
      <c r="O329" s="172"/>
    </row>
    <row r="330" spans="1:19" customFormat="1" ht="15.75" x14ac:dyDescent="0.25">
      <c r="A330" s="170" t="s">
        <v>77</v>
      </c>
      <c r="B330" s="172" t="s">
        <v>74</v>
      </c>
      <c r="C330" s="352" t="s">
        <v>137</v>
      </c>
      <c r="D330" s="172" t="s">
        <v>58</v>
      </c>
      <c r="E330" s="181" t="s">
        <v>23</v>
      </c>
      <c r="F330" s="261">
        <v>1288677.5632411737</v>
      </c>
      <c r="G330" s="353">
        <v>4382.4671762374974</v>
      </c>
      <c r="H330" s="354">
        <v>24942</v>
      </c>
      <c r="I330" s="355">
        <v>9239.3168293168692</v>
      </c>
      <c r="J330" s="261">
        <f t="shared" si="44"/>
        <v>1284295.0960649361</v>
      </c>
      <c r="K330" s="430">
        <f t="shared" si="45"/>
        <v>51.491263574089331</v>
      </c>
      <c r="L330" s="176">
        <f t="shared" si="46"/>
        <v>3.4007476355955818E-3</v>
      </c>
      <c r="M330" s="380">
        <f t="shared" si="47"/>
        <v>2.699550243894401</v>
      </c>
      <c r="N330" s="180" t="s">
        <v>148</v>
      </c>
      <c r="O330" s="172"/>
    </row>
    <row r="331" spans="1:19" customFormat="1" ht="15.75" x14ac:dyDescent="0.25">
      <c r="A331" s="170" t="s">
        <v>77</v>
      </c>
      <c r="B331" s="172" t="s">
        <v>74</v>
      </c>
      <c r="C331" s="352" t="s">
        <v>138</v>
      </c>
      <c r="D331" s="172" t="s">
        <v>58</v>
      </c>
      <c r="E331" s="181" t="s">
        <v>23</v>
      </c>
      <c r="F331" s="261">
        <v>1306874.7130271771</v>
      </c>
      <c r="G331" s="353">
        <v>4259.2970419041449</v>
      </c>
      <c r="H331" s="354">
        <v>24241</v>
      </c>
      <c r="I331" s="355">
        <v>9576.8939255128462</v>
      </c>
      <c r="J331" s="261">
        <f t="shared" si="44"/>
        <v>1302615.415985273</v>
      </c>
      <c r="K331" s="430">
        <f t="shared" si="45"/>
        <v>53.736042901912995</v>
      </c>
      <c r="L331" s="176">
        <f t="shared" si="46"/>
        <v>3.2591471848423242E-3</v>
      </c>
      <c r="M331" s="380">
        <f t="shared" si="47"/>
        <v>2.5311964597855652</v>
      </c>
      <c r="N331" s="180" t="s">
        <v>148</v>
      </c>
      <c r="O331" s="172"/>
    </row>
    <row r="332" spans="1:19" customFormat="1" ht="15.75" x14ac:dyDescent="0.25">
      <c r="A332" s="170" t="s">
        <v>77</v>
      </c>
      <c r="B332" s="172" t="s">
        <v>74</v>
      </c>
      <c r="C332" s="352" t="s">
        <v>139</v>
      </c>
      <c r="D332" s="172" t="s">
        <v>58</v>
      </c>
      <c r="E332" s="181" t="s">
        <v>23</v>
      </c>
      <c r="F332" s="261">
        <v>489996.30265715549</v>
      </c>
      <c r="G332" s="353">
        <v>1036.6673217785758</v>
      </c>
      <c r="H332" s="354">
        <v>5900</v>
      </c>
      <c r="I332" s="355">
        <v>3133.2302330213106</v>
      </c>
      <c r="J332" s="261">
        <f t="shared" si="44"/>
        <v>488959.63533537689</v>
      </c>
      <c r="K332" s="430">
        <f t="shared" si="45"/>
        <v>82.8745144636232</v>
      </c>
      <c r="L332" s="176">
        <f t="shared" si="46"/>
        <v>2.1156635594124459E-3</v>
      </c>
      <c r="M332" s="380">
        <f t="shared" si="47"/>
        <v>1.8830406836432028</v>
      </c>
      <c r="N332" s="180" t="s">
        <v>149</v>
      </c>
      <c r="O332" s="172"/>
    </row>
    <row r="333" spans="1:19" customFormat="1" ht="15.75" x14ac:dyDescent="0.25">
      <c r="A333" s="170" t="s">
        <v>77</v>
      </c>
      <c r="B333" s="172" t="s">
        <v>74</v>
      </c>
      <c r="C333" s="352" t="s">
        <v>140</v>
      </c>
      <c r="D333" s="172" t="s">
        <v>58</v>
      </c>
      <c r="E333" s="181" t="s">
        <v>23</v>
      </c>
      <c r="F333" s="261">
        <v>382477.30317334953</v>
      </c>
      <c r="G333" s="353">
        <v>643.43656480561765</v>
      </c>
      <c r="H333" s="354">
        <v>3662</v>
      </c>
      <c r="I333" s="355">
        <v>2039.3220474009161</v>
      </c>
      <c r="J333" s="261">
        <f t="shared" si="44"/>
        <v>381833.8666085439</v>
      </c>
      <c r="K333" s="430">
        <f t="shared" si="45"/>
        <v>104.26921534913815</v>
      </c>
      <c r="L333" s="176">
        <f t="shared" si="46"/>
        <v>1.6822869212555444E-3</v>
      </c>
      <c r="M333" s="380">
        <f t="shared" si="47"/>
        <v>1.7956948019402632</v>
      </c>
      <c r="N333" s="180" t="s">
        <v>150</v>
      </c>
      <c r="O333" s="172"/>
    </row>
    <row r="334" spans="1:19" customFormat="1" ht="15.75" x14ac:dyDescent="0.25">
      <c r="A334" s="170" t="s">
        <v>77</v>
      </c>
      <c r="B334" s="172" t="s">
        <v>74</v>
      </c>
      <c r="C334" s="352" t="s">
        <v>137</v>
      </c>
      <c r="D334" s="172" t="s">
        <v>58</v>
      </c>
      <c r="E334" s="181" t="s">
        <v>43</v>
      </c>
      <c r="F334" s="261">
        <v>216229.4079112481</v>
      </c>
      <c r="G334" s="353">
        <v>758.34850182988691</v>
      </c>
      <c r="H334" s="354">
        <v>4316</v>
      </c>
      <c r="I334" s="355">
        <v>1550.2807408882693</v>
      </c>
      <c r="J334" s="261">
        <f t="shared" si="44"/>
        <v>215471.0594094182</v>
      </c>
      <c r="K334" s="430">
        <f t="shared" si="45"/>
        <v>49.923785776046849</v>
      </c>
      <c r="L334" s="176">
        <f t="shared" si="46"/>
        <v>3.5071478442985559E-3</v>
      </c>
      <c r="M334" s="380">
        <f t="shared" si="47"/>
        <v>2.7840118800205489</v>
      </c>
      <c r="N334" s="180" t="s">
        <v>148</v>
      </c>
      <c r="O334" s="172"/>
    </row>
    <row r="335" spans="1:19" customFormat="1" ht="15.75" x14ac:dyDescent="0.25">
      <c r="A335" s="170" t="s">
        <v>77</v>
      </c>
      <c r="B335" s="172" t="s">
        <v>74</v>
      </c>
      <c r="C335" s="352" t="s">
        <v>138</v>
      </c>
      <c r="D335" s="172" t="s">
        <v>58</v>
      </c>
      <c r="E335" s="181" t="s">
        <v>43</v>
      </c>
      <c r="F335" s="261">
        <v>202772.27044178144</v>
      </c>
      <c r="G335" s="353">
        <v>707.21796104385885</v>
      </c>
      <c r="H335" s="354">
        <v>4025</v>
      </c>
      <c r="I335" s="355">
        <v>1485.933200557658</v>
      </c>
      <c r="J335" s="261">
        <f t="shared" si="44"/>
        <v>202065.05248073759</v>
      </c>
      <c r="K335" s="430">
        <f t="shared" si="45"/>
        <v>50.202497510742262</v>
      </c>
      <c r="L335" s="176">
        <f t="shared" si="46"/>
        <v>3.4877449441338198E-3</v>
      </c>
      <c r="M335" s="380">
        <f t="shared" si="47"/>
        <v>2.7087354926112774</v>
      </c>
      <c r="N335" s="180" t="s">
        <v>148</v>
      </c>
      <c r="O335" s="172"/>
    </row>
    <row r="336" spans="1:19" customFormat="1" ht="15.75" x14ac:dyDescent="0.25">
      <c r="A336" s="170" t="s">
        <v>77</v>
      </c>
      <c r="B336" s="172" t="s">
        <v>74</v>
      </c>
      <c r="C336" s="352" t="s">
        <v>139</v>
      </c>
      <c r="D336" s="172" t="s">
        <v>58</v>
      </c>
      <c r="E336" s="181" t="s">
        <v>43</v>
      </c>
      <c r="F336" s="261">
        <v>84375.350694518114</v>
      </c>
      <c r="G336" s="353">
        <v>140.21364792869551</v>
      </c>
      <c r="H336" s="354">
        <v>798</v>
      </c>
      <c r="I336" s="355">
        <v>539.52937661820363</v>
      </c>
      <c r="J336" s="261">
        <f t="shared" si="44"/>
        <v>84235.137046589414</v>
      </c>
      <c r="K336" s="430">
        <f t="shared" si="45"/>
        <v>105.5578158478564</v>
      </c>
      <c r="L336" s="176">
        <f t="shared" si="46"/>
        <v>1.6617844758517279E-3</v>
      </c>
      <c r="M336" s="380">
        <f t="shared" si="47"/>
        <v>1.4790668211653326</v>
      </c>
      <c r="N336" s="180" t="s">
        <v>149</v>
      </c>
      <c r="O336" s="172"/>
    </row>
    <row r="337" spans="1:15" customFormat="1" ht="15.75" x14ac:dyDescent="0.25">
      <c r="A337" s="170" t="s">
        <v>77</v>
      </c>
      <c r="B337" s="172" t="s">
        <v>74</v>
      </c>
      <c r="C337" s="352" t="s">
        <v>140</v>
      </c>
      <c r="D337" s="172" t="s">
        <v>58</v>
      </c>
      <c r="E337" s="181" t="s">
        <v>43</v>
      </c>
      <c r="F337" s="261">
        <v>60713.6301639249</v>
      </c>
      <c r="G337" s="353">
        <v>91.542995702819994</v>
      </c>
      <c r="H337" s="354">
        <v>521</v>
      </c>
      <c r="I337" s="355">
        <v>323.71762597092209</v>
      </c>
      <c r="J337" s="261">
        <f t="shared" si="44"/>
        <v>60622.087168222082</v>
      </c>
      <c r="K337" s="430">
        <f t="shared" si="45"/>
        <v>116.35717306760476</v>
      </c>
      <c r="L337" s="176">
        <f t="shared" si="46"/>
        <v>1.507783268034818E-3</v>
      </c>
      <c r="M337" s="380">
        <f t="shared" si="47"/>
        <v>1.6094273471744749</v>
      </c>
      <c r="N337" s="180" t="s">
        <v>150</v>
      </c>
      <c r="O337" s="172"/>
    </row>
    <row r="338" spans="1:15" customFormat="1" ht="15.75" x14ac:dyDescent="0.25">
      <c r="A338" s="170" t="s">
        <v>77</v>
      </c>
      <c r="B338" s="172" t="s">
        <v>74</v>
      </c>
      <c r="C338" s="352" t="s">
        <v>137</v>
      </c>
      <c r="D338" s="172" t="s">
        <v>58</v>
      </c>
      <c r="E338" s="181" t="s">
        <v>44</v>
      </c>
      <c r="F338" s="261">
        <v>214572.47758242622</v>
      </c>
      <c r="G338" s="353">
        <v>692.10721703149318</v>
      </c>
      <c r="H338" s="354">
        <v>3939</v>
      </c>
      <c r="I338" s="355">
        <v>1538.4011949810795</v>
      </c>
      <c r="J338" s="261">
        <f t="shared" si="44"/>
        <v>213880.37036539472</v>
      </c>
      <c r="K338" s="430">
        <f t="shared" si="45"/>
        <v>54.298139214367787</v>
      </c>
      <c r="L338" s="176">
        <f t="shared" si="46"/>
        <v>3.225517199733251E-3</v>
      </c>
      <c r="M338" s="380">
        <f t="shared" si="47"/>
        <v>2.5604504292187871</v>
      </c>
      <c r="N338" s="180" t="s">
        <v>148</v>
      </c>
      <c r="O338" s="172"/>
    </row>
    <row r="339" spans="1:15" customFormat="1" x14ac:dyDescent="0.25">
      <c r="A339" s="170" t="s">
        <v>77</v>
      </c>
      <c r="B339" s="172" t="s">
        <v>74</v>
      </c>
      <c r="C339" s="358" t="s">
        <v>138</v>
      </c>
      <c r="D339" s="172" t="s">
        <v>58</v>
      </c>
      <c r="E339" s="172" t="s">
        <v>44</v>
      </c>
      <c r="F339" s="261">
        <v>213174.31229655628</v>
      </c>
      <c r="G339" s="261">
        <v>613.56648943233665</v>
      </c>
      <c r="H339" s="313">
        <v>3492</v>
      </c>
      <c r="I339" s="355">
        <v>1562.1602867954589</v>
      </c>
      <c r="J339" s="261">
        <f t="shared" si="44"/>
        <v>212560.74580712395</v>
      </c>
      <c r="K339" s="430">
        <f t="shared" si="45"/>
        <v>60.870774858855654</v>
      </c>
      <c r="L339" s="176">
        <f t="shared" si="46"/>
        <v>2.8782383900869679E-3</v>
      </c>
      <c r="M339" s="380">
        <f t="shared" si="47"/>
        <v>2.2353660053433582</v>
      </c>
      <c r="N339" s="180" t="s">
        <v>148</v>
      </c>
      <c r="O339" s="172"/>
    </row>
    <row r="340" spans="1:15" s="96" customFormat="1" ht="15.75" x14ac:dyDescent="0.25">
      <c r="A340" s="170" t="s">
        <v>77</v>
      </c>
      <c r="B340" s="172" t="s">
        <v>74</v>
      </c>
      <c r="C340" s="352" t="s">
        <v>139</v>
      </c>
      <c r="D340" s="172" t="s">
        <v>58</v>
      </c>
      <c r="E340" s="172" t="s">
        <v>44</v>
      </c>
      <c r="F340" s="261">
        <v>60843.142794395615</v>
      </c>
      <c r="G340" s="261">
        <v>98.044129754651735</v>
      </c>
      <c r="H340" s="313">
        <v>558</v>
      </c>
      <c r="I340" s="355">
        <v>389.05512846046605</v>
      </c>
      <c r="J340" s="261">
        <f t="shared" si="44"/>
        <v>60745.098664640966</v>
      </c>
      <c r="K340" s="430">
        <f t="shared" si="45"/>
        <v>108.86218398681177</v>
      </c>
      <c r="L340" s="176">
        <f t="shared" si="46"/>
        <v>1.6114244802568414E-3</v>
      </c>
      <c r="M340" s="380">
        <f t="shared" si="47"/>
        <v>1.4342440419898008</v>
      </c>
      <c r="N340" s="180" t="s">
        <v>149</v>
      </c>
      <c r="O340" s="172"/>
    </row>
    <row r="341" spans="1:15" s="96" customFormat="1" ht="16.5" thickBot="1" x14ac:dyDescent="0.3">
      <c r="A341" s="182" t="s">
        <v>77</v>
      </c>
      <c r="B341" s="184" t="s">
        <v>74</v>
      </c>
      <c r="C341" s="366" t="s">
        <v>140</v>
      </c>
      <c r="D341" s="184" t="s">
        <v>58</v>
      </c>
      <c r="E341" s="184" t="s">
        <v>44</v>
      </c>
      <c r="F341" s="268">
        <v>44189.125318086015</v>
      </c>
      <c r="G341" s="268">
        <v>61.145801352363449</v>
      </c>
      <c r="H341" s="317">
        <v>348</v>
      </c>
      <c r="I341" s="362">
        <v>235.6109938259311</v>
      </c>
      <c r="J341" s="268">
        <f t="shared" si="44"/>
        <v>44127.979516733649</v>
      </c>
      <c r="K341" s="432">
        <f t="shared" si="45"/>
        <v>126.80453884118864</v>
      </c>
      <c r="L341" s="188">
        <f t="shared" si="46"/>
        <v>1.3837296147461262E-3</v>
      </c>
      <c r="M341" s="381">
        <f t="shared" si="47"/>
        <v>1.477010874361413</v>
      </c>
      <c r="N341" s="286" t="s">
        <v>150</v>
      </c>
      <c r="O341" s="172"/>
    </row>
    <row r="342" spans="1:15" x14ac:dyDescent="0.25">
      <c r="A342" s="200"/>
      <c r="B342" s="200"/>
      <c r="C342" s="200"/>
      <c r="D342" s="200"/>
      <c r="E342" s="345"/>
      <c r="F342" s="202"/>
      <c r="G342" s="202"/>
      <c r="H342" s="410"/>
      <c r="I342" s="410"/>
      <c r="J342" s="200"/>
      <c r="K342" s="200"/>
      <c r="L342" s="200"/>
      <c r="M342" s="200"/>
      <c r="N342" s="200"/>
    </row>
    <row r="343" spans="1:15" x14ac:dyDescent="0.25">
      <c r="B343" s="200"/>
      <c r="C343" s="200"/>
      <c r="D343" s="200"/>
      <c r="E343" s="200"/>
      <c r="F343" s="202"/>
      <c r="G343" s="202"/>
      <c r="H343" s="379"/>
      <c r="I343" s="379"/>
      <c r="J343" s="201"/>
      <c r="K343" s="202"/>
      <c r="L343" s="315"/>
      <c r="M343" s="369"/>
      <c r="N343" s="200"/>
    </row>
    <row r="344" spans="1:15" x14ac:dyDescent="0.25">
      <c r="A344" s="200"/>
      <c r="B344" s="200"/>
      <c r="C344" s="200"/>
      <c r="D344" s="200"/>
      <c r="E344" s="200"/>
      <c r="F344" s="411"/>
      <c r="G344" s="411"/>
      <c r="H344" s="410"/>
      <c r="I344" s="410"/>
      <c r="J344" s="412"/>
      <c r="K344" s="413"/>
      <c r="L344" s="414"/>
      <c r="M344" s="369"/>
      <c r="N344" s="200"/>
    </row>
    <row r="345" spans="1:15" x14ac:dyDescent="0.25">
      <c r="A345" s="200"/>
      <c r="B345" s="200"/>
      <c r="C345" s="200"/>
      <c r="D345" s="200"/>
      <c r="E345" s="200"/>
      <c r="F345" s="415"/>
      <c r="G345" s="415"/>
      <c r="H345" s="415"/>
      <c r="I345" s="415"/>
      <c r="J345" s="415"/>
      <c r="K345" s="415"/>
      <c r="L345" s="415"/>
      <c r="M345" s="415"/>
      <c r="N345" s="200"/>
    </row>
  </sheetData>
  <autoFilter ref="A2:N280" xr:uid="{E6F7F75E-2FB1-4263-8E71-4C64139B52E2}">
    <sortState xmlns:xlrd2="http://schemas.microsoft.com/office/spreadsheetml/2017/richdata2" ref="A3:N3">
      <sortCondition descending="1" ref="E3"/>
      <sortCondition ref="K3"/>
    </sortState>
  </autoFilter>
  <sortState xmlns:xlrd2="http://schemas.microsoft.com/office/spreadsheetml/2017/richdata2" ref="A3:N20">
    <sortCondition ref="A7:A20"/>
  </sortState>
  <mergeCells count="2">
    <mergeCell ref="A276:N276"/>
    <mergeCell ref="A298:N29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 Commuter &amp; Express Bus</vt:lpstr>
      <vt:lpstr>Table 2 Core Local Bus</vt:lpstr>
      <vt:lpstr>Table 3 Supporting Local Bus</vt:lpstr>
      <vt:lpstr>Table 4 Suburban Local Bus</vt:lpstr>
      <vt:lpstr>Table 5 Arterial BRT</vt:lpstr>
      <vt:lpstr>Table 6 Highway BRT</vt:lpstr>
      <vt:lpstr>Table 7 Dedicated BRT</vt:lpstr>
      <vt:lpstr>Table 8 LRT</vt:lpstr>
      <vt:lpstr>Table 9 Commuter Rail</vt:lpstr>
      <vt:lpstr>Table 10 Microtransit</vt:lpstr>
      <vt:lpstr>Table 11 Dial-a-Ride</vt:lpstr>
      <vt:lpstr>Table 12 Vanpool</vt:lpstr>
      <vt:lpstr>All Routes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Harper, John</dc:creator>
  <cp:lastModifiedBy>Bobbitt, Bradley</cp:lastModifiedBy>
  <dcterms:created xsi:type="dcterms:W3CDTF">2023-11-09T14:29:36Z</dcterms:created>
  <dcterms:modified xsi:type="dcterms:W3CDTF">2026-10-08T21:19:17Z</dcterms:modified>
</cp:coreProperties>
</file>