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MTS\Working\Planning\Transit\Transit - Regional Route Analysis\2024\"/>
    </mc:Choice>
  </mc:AlternateContent>
  <xr:revisionPtr revIDLastSave="0" documentId="13_ncr:1_{AE0DF55A-41C2-42D7-94AF-175C1632FE0B}" xr6:coauthVersionLast="47" xr6:coauthVersionMax="47" xr10:uidLastSave="{00000000-0000-0000-0000-000000000000}"/>
  <bookViews>
    <workbookView xWindow="-120" yWindow="-120" windowWidth="29040" windowHeight="15720" tabRatio="837" xr2:uid="{53FA297B-91B6-4D37-AA2E-01090386FE5B}"/>
  </bookViews>
  <sheets>
    <sheet name="Table 1 Commuter &amp; Express Bus" sheetId="4" r:id="rId1"/>
    <sheet name="Table 2 Core Local Bus" sheetId="6" r:id="rId2"/>
    <sheet name="Table 3 Supporting Local Bus" sheetId="7" r:id="rId3"/>
    <sheet name="Table 4 Suburban Local Bus" sheetId="8" r:id="rId4"/>
    <sheet name="Table 5 Arterial BRT" sheetId="9" r:id="rId5"/>
    <sheet name="Table 6 Highway BRT" sheetId="10" r:id="rId6"/>
    <sheet name="Table 7 LRT" sheetId="11" r:id="rId7"/>
    <sheet name="Table 8 Commuter Rail" sheetId="12" r:id="rId8"/>
    <sheet name="Table 9 Microtransit" sheetId="13" r:id="rId9"/>
    <sheet name="Table 10 Dial-a-Ride" sheetId="14" r:id="rId10"/>
    <sheet name="Table 11 Vanpool" sheetId="15" r:id="rId11"/>
    <sheet name="All Routes" sheetId="1" r:id="rId12"/>
  </sheets>
  <definedNames>
    <definedName name="_xlnm._FilterDatabase" localSheetId="11" hidden="1">'All Routes'!$A$2:$O$287</definedName>
    <definedName name="_xlnm._FilterDatabase" localSheetId="0" hidden="1">'Table 1 Commuter &amp; Express Bus'!$A$3:$P$53</definedName>
    <definedName name="_xlnm._FilterDatabase" localSheetId="1" hidden="1">'Table 2 Core Local Bus'!$A$3:$P$73</definedName>
    <definedName name="_xlnm._FilterDatabase" localSheetId="2" hidden="1">'Table 3 Supporting Local Bus'!$A$3:$P$32</definedName>
    <definedName name="_xlnm._FilterDatabase" localSheetId="3" hidden="1">'Table 4 Suburban Local Bus'!$A$3:$P$94</definedName>
    <definedName name="_xlnm._FilterDatabase" localSheetId="4" hidden="1">'Table 5 Arterial BRT'!$A$3:$P$12</definedName>
    <definedName name="_xlnm._FilterDatabase" localSheetId="5" hidden="1">'Table 6 Highway BRT'!$A$3:$P$9</definedName>
    <definedName name="_xlnm._FilterDatabase" localSheetId="6" hidden="1">'Table 7 LRT'!$A$3:$P$9</definedName>
    <definedName name="_xlnm._FilterDatabase" localSheetId="8" hidden="1">'Table 9 Microtransit'!$A$3:$P$15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14" l="1"/>
  <c r="L21" i="14"/>
  <c r="H22" i="14" l="1"/>
  <c r="H21" i="14"/>
  <c r="L8" i="14" s="1"/>
  <c r="F15" i="14"/>
  <c r="F14" i="14"/>
  <c r="F13" i="14"/>
  <c r="F22" i="14"/>
  <c r="F21" i="14"/>
  <c r="F20" i="14"/>
  <c r="L9" i="14"/>
  <c r="L7" i="14"/>
  <c r="H20" i="14"/>
  <c r="M8" i="14"/>
  <c r="M7" i="14"/>
  <c r="J7" i="14"/>
  <c r="K7" i="14" s="1"/>
  <c r="J8" i="14"/>
  <c r="K8" i="14" s="1"/>
  <c r="L11" i="12"/>
  <c r="L10" i="12"/>
  <c r="K28" i="13"/>
  <c r="K104" i="8" l="1"/>
  <c r="K107" i="8"/>
  <c r="M4" i="12"/>
  <c r="O4" i="10"/>
  <c r="O24" i="8"/>
  <c r="N287" i="1"/>
  <c r="M287" i="1"/>
  <c r="L287" i="1"/>
  <c r="J287" i="1"/>
  <c r="K287" i="1" s="1"/>
  <c r="N286" i="1"/>
  <c r="M286" i="1"/>
  <c r="L286" i="1"/>
  <c r="J286" i="1"/>
  <c r="K286" i="1" s="1"/>
  <c r="N285" i="1"/>
  <c r="M285" i="1"/>
  <c r="L285" i="1"/>
  <c r="J285" i="1"/>
  <c r="K285" i="1" s="1"/>
  <c r="N284" i="1"/>
  <c r="M284" i="1"/>
  <c r="L284" i="1"/>
  <c r="J284" i="1"/>
  <c r="K284" i="1" s="1"/>
  <c r="N283" i="1"/>
  <c r="M283" i="1"/>
  <c r="L283" i="1"/>
  <c r="J283" i="1"/>
  <c r="K283" i="1" s="1"/>
  <c r="N282" i="1"/>
  <c r="M282" i="1"/>
  <c r="L282" i="1"/>
  <c r="J282" i="1"/>
  <c r="K282" i="1" s="1"/>
  <c r="N281" i="1"/>
  <c r="M281" i="1"/>
  <c r="L281" i="1"/>
  <c r="J281" i="1"/>
  <c r="K281" i="1" s="1"/>
  <c r="N280" i="1"/>
  <c r="M280" i="1"/>
  <c r="L280" i="1"/>
  <c r="J280" i="1"/>
  <c r="K280" i="1" s="1"/>
  <c r="N279" i="1"/>
  <c r="M279" i="1"/>
  <c r="L279" i="1"/>
  <c r="J279" i="1"/>
  <c r="K279" i="1" s="1"/>
  <c r="N278" i="1"/>
  <c r="M278" i="1"/>
  <c r="L278" i="1"/>
  <c r="J278" i="1"/>
  <c r="K278" i="1" s="1"/>
  <c r="N277" i="1"/>
  <c r="M277" i="1"/>
  <c r="L277" i="1"/>
  <c r="J277" i="1"/>
  <c r="K277" i="1" s="1"/>
  <c r="N276" i="1"/>
  <c r="M276" i="1"/>
  <c r="L276" i="1"/>
  <c r="J276" i="1"/>
  <c r="K276" i="1" s="1"/>
  <c r="N275" i="1"/>
  <c r="M275" i="1"/>
  <c r="L275" i="1"/>
  <c r="J275" i="1"/>
  <c r="K275" i="1" s="1"/>
  <c r="N274" i="1"/>
  <c r="M274" i="1"/>
  <c r="L274" i="1"/>
  <c r="J274" i="1"/>
  <c r="K274" i="1" s="1"/>
  <c r="N273" i="1"/>
  <c r="M273" i="1"/>
  <c r="L273" i="1"/>
  <c r="J273" i="1"/>
  <c r="K273" i="1" s="1"/>
  <c r="N272" i="1"/>
  <c r="M272" i="1"/>
  <c r="L272" i="1"/>
  <c r="J272" i="1"/>
  <c r="K272" i="1" s="1"/>
  <c r="N271" i="1"/>
  <c r="M271" i="1"/>
  <c r="L271" i="1"/>
  <c r="J271" i="1"/>
  <c r="K271" i="1" s="1"/>
  <c r="N270" i="1"/>
  <c r="M270" i="1"/>
  <c r="L270" i="1"/>
  <c r="J270" i="1"/>
  <c r="K270" i="1" s="1"/>
  <c r="N269" i="1"/>
  <c r="M269" i="1"/>
  <c r="L269" i="1"/>
  <c r="J269" i="1"/>
  <c r="K269" i="1" s="1"/>
  <c r="N268" i="1"/>
  <c r="M268" i="1"/>
  <c r="L268" i="1"/>
  <c r="J268" i="1"/>
  <c r="K268" i="1" s="1"/>
  <c r="N267" i="1"/>
  <c r="M267" i="1"/>
  <c r="L267" i="1"/>
  <c r="J267" i="1"/>
  <c r="K267" i="1" s="1"/>
  <c r="N266" i="1"/>
  <c r="M266" i="1"/>
  <c r="L266" i="1"/>
  <c r="J266" i="1"/>
  <c r="K266" i="1" s="1"/>
  <c r="N265" i="1"/>
  <c r="M265" i="1"/>
  <c r="L265" i="1"/>
  <c r="J265" i="1"/>
  <c r="K265" i="1" s="1"/>
  <c r="N264" i="1"/>
  <c r="M264" i="1"/>
  <c r="L264" i="1"/>
  <c r="J264" i="1"/>
  <c r="K264" i="1" s="1"/>
  <c r="N263" i="1"/>
  <c r="M263" i="1"/>
  <c r="L263" i="1"/>
  <c r="J263" i="1"/>
  <c r="K263" i="1" s="1"/>
  <c r="N262" i="1"/>
  <c r="M262" i="1"/>
  <c r="L262" i="1"/>
  <c r="J262" i="1"/>
  <c r="K262" i="1" s="1"/>
  <c r="N261" i="1"/>
  <c r="M261" i="1"/>
  <c r="L261" i="1"/>
  <c r="J261" i="1"/>
  <c r="K261" i="1" s="1"/>
  <c r="N260" i="1"/>
  <c r="M260" i="1"/>
  <c r="L260" i="1"/>
  <c r="J260" i="1"/>
  <c r="K260" i="1" s="1"/>
  <c r="N259" i="1"/>
  <c r="M259" i="1"/>
  <c r="L259" i="1"/>
  <c r="J259" i="1"/>
  <c r="K259" i="1" s="1"/>
  <c r="N258" i="1"/>
  <c r="M258" i="1"/>
  <c r="L258" i="1"/>
  <c r="J258" i="1"/>
  <c r="K258" i="1" s="1"/>
  <c r="N257" i="1"/>
  <c r="M257" i="1"/>
  <c r="L257" i="1"/>
  <c r="J257" i="1"/>
  <c r="K257" i="1" s="1"/>
  <c r="N256" i="1"/>
  <c r="M256" i="1"/>
  <c r="L256" i="1"/>
  <c r="J256" i="1"/>
  <c r="K256" i="1" s="1"/>
  <c r="N255" i="1"/>
  <c r="M255" i="1"/>
  <c r="L255" i="1"/>
  <c r="J255" i="1"/>
  <c r="K255" i="1" s="1"/>
  <c r="N254" i="1"/>
  <c r="M254" i="1"/>
  <c r="L254" i="1"/>
  <c r="J254" i="1"/>
  <c r="K254" i="1" s="1"/>
  <c r="N253" i="1"/>
  <c r="M253" i="1"/>
  <c r="L253" i="1"/>
  <c r="J253" i="1"/>
  <c r="K253" i="1" s="1"/>
  <c r="N252" i="1"/>
  <c r="M252" i="1"/>
  <c r="L252" i="1"/>
  <c r="J252" i="1"/>
  <c r="K252" i="1" s="1"/>
  <c r="N251" i="1"/>
  <c r="M251" i="1"/>
  <c r="L251" i="1"/>
  <c r="J251" i="1"/>
  <c r="K251" i="1" s="1"/>
  <c r="N250" i="1"/>
  <c r="M250" i="1"/>
  <c r="L250" i="1"/>
  <c r="J250" i="1"/>
  <c r="K250" i="1" s="1"/>
  <c r="N249" i="1"/>
  <c r="M249" i="1"/>
  <c r="L249" i="1"/>
  <c r="J249" i="1"/>
  <c r="K249" i="1" s="1"/>
  <c r="N248" i="1"/>
  <c r="M248" i="1"/>
  <c r="L248" i="1"/>
  <c r="J248" i="1"/>
  <c r="K248" i="1" s="1"/>
  <c r="N247" i="1"/>
  <c r="M247" i="1"/>
  <c r="L247" i="1"/>
  <c r="J247" i="1"/>
  <c r="K247" i="1" s="1"/>
  <c r="N246" i="1"/>
  <c r="M246" i="1"/>
  <c r="L246" i="1"/>
  <c r="J246" i="1"/>
  <c r="K246" i="1" s="1"/>
  <c r="N245" i="1"/>
  <c r="M245" i="1"/>
  <c r="L245" i="1"/>
  <c r="J245" i="1"/>
  <c r="K245" i="1" s="1"/>
  <c r="N244" i="1"/>
  <c r="M244" i="1"/>
  <c r="L244" i="1"/>
  <c r="J244" i="1"/>
  <c r="K244" i="1" s="1"/>
  <c r="N243" i="1"/>
  <c r="M243" i="1"/>
  <c r="L243" i="1"/>
  <c r="J243" i="1"/>
  <c r="K243" i="1" s="1"/>
  <c r="N242" i="1"/>
  <c r="M242" i="1"/>
  <c r="L242" i="1"/>
  <c r="J242" i="1"/>
  <c r="K242" i="1" s="1"/>
  <c r="N241" i="1"/>
  <c r="M241" i="1"/>
  <c r="L241" i="1"/>
  <c r="J241" i="1"/>
  <c r="K241" i="1" s="1"/>
  <c r="N240" i="1"/>
  <c r="M240" i="1"/>
  <c r="L240" i="1"/>
  <c r="J240" i="1"/>
  <c r="K240" i="1" s="1"/>
  <c r="N239" i="1"/>
  <c r="M239" i="1"/>
  <c r="L239" i="1"/>
  <c r="J239" i="1"/>
  <c r="K239" i="1" s="1"/>
  <c r="N238" i="1"/>
  <c r="M238" i="1"/>
  <c r="L238" i="1"/>
  <c r="J238" i="1"/>
  <c r="K238" i="1" s="1"/>
  <c r="N237" i="1"/>
  <c r="M237" i="1"/>
  <c r="L237" i="1"/>
  <c r="J237" i="1"/>
  <c r="K237" i="1" s="1"/>
  <c r="N236" i="1"/>
  <c r="M236" i="1"/>
  <c r="L236" i="1"/>
  <c r="J236" i="1"/>
  <c r="K236" i="1" s="1"/>
  <c r="N235" i="1"/>
  <c r="M235" i="1"/>
  <c r="L235" i="1"/>
  <c r="J235" i="1"/>
  <c r="K235" i="1" s="1"/>
  <c r="N234" i="1"/>
  <c r="M234" i="1"/>
  <c r="L234" i="1"/>
  <c r="J234" i="1"/>
  <c r="K234" i="1" s="1"/>
  <c r="N233" i="1"/>
  <c r="M233" i="1"/>
  <c r="L233" i="1"/>
  <c r="J233" i="1"/>
  <c r="K233" i="1" s="1"/>
  <c r="N232" i="1"/>
  <c r="M232" i="1"/>
  <c r="L232" i="1"/>
  <c r="J232" i="1"/>
  <c r="K232" i="1" s="1"/>
  <c r="N231" i="1"/>
  <c r="M231" i="1"/>
  <c r="L231" i="1"/>
  <c r="J231" i="1"/>
  <c r="K231" i="1" s="1"/>
  <c r="N230" i="1"/>
  <c r="M230" i="1"/>
  <c r="L230" i="1"/>
  <c r="J230" i="1"/>
  <c r="K230" i="1" s="1"/>
  <c r="N229" i="1"/>
  <c r="M229" i="1"/>
  <c r="L229" i="1"/>
  <c r="K229" i="1"/>
  <c r="J229" i="1"/>
  <c r="N228" i="1"/>
  <c r="M228" i="1"/>
  <c r="L228" i="1"/>
  <c r="J228" i="1"/>
  <c r="K228" i="1" s="1"/>
  <c r="N227" i="1"/>
  <c r="M227" i="1"/>
  <c r="L227" i="1"/>
  <c r="J227" i="1"/>
  <c r="K227" i="1" s="1"/>
  <c r="N226" i="1"/>
  <c r="M226" i="1"/>
  <c r="L226" i="1"/>
  <c r="J226" i="1"/>
  <c r="K226" i="1" s="1"/>
  <c r="N225" i="1"/>
  <c r="M225" i="1"/>
  <c r="L225" i="1"/>
  <c r="J225" i="1"/>
  <c r="K225" i="1" s="1"/>
  <c r="N224" i="1"/>
  <c r="M224" i="1"/>
  <c r="L224" i="1"/>
  <c r="J224" i="1"/>
  <c r="K224" i="1" s="1"/>
  <c r="N223" i="1"/>
  <c r="M223" i="1"/>
  <c r="L223" i="1"/>
  <c r="J223" i="1"/>
  <c r="K223" i="1" s="1"/>
  <c r="N222" i="1"/>
  <c r="M222" i="1"/>
  <c r="L222" i="1"/>
  <c r="J222" i="1"/>
  <c r="K222" i="1" s="1"/>
  <c r="N221" i="1"/>
  <c r="M221" i="1"/>
  <c r="L221" i="1"/>
  <c r="J221" i="1"/>
  <c r="K221" i="1" s="1"/>
  <c r="N220" i="1"/>
  <c r="M220" i="1"/>
  <c r="L220" i="1"/>
  <c r="J220" i="1"/>
  <c r="K220" i="1" s="1"/>
  <c r="N219" i="1"/>
  <c r="M219" i="1"/>
  <c r="L219" i="1"/>
  <c r="J219" i="1"/>
  <c r="K219" i="1" s="1"/>
  <c r="N218" i="1"/>
  <c r="M218" i="1"/>
  <c r="L218" i="1"/>
  <c r="J218" i="1"/>
  <c r="K218" i="1" s="1"/>
  <c r="N217" i="1"/>
  <c r="M217" i="1"/>
  <c r="L217" i="1"/>
  <c r="J217" i="1"/>
  <c r="K217" i="1" s="1"/>
  <c r="N216" i="1"/>
  <c r="M216" i="1"/>
  <c r="L216" i="1"/>
  <c r="J216" i="1"/>
  <c r="K216" i="1" s="1"/>
  <c r="N215" i="1"/>
  <c r="M215" i="1"/>
  <c r="L215" i="1"/>
  <c r="J215" i="1"/>
  <c r="K215" i="1" s="1"/>
  <c r="N214" i="1"/>
  <c r="M214" i="1"/>
  <c r="L214" i="1"/>
  <c r="J214" i="1"/>
  <c r="K214" i="1" s="1"/>
  <c r="N213" i="1"/>
  <c r="M213" i="1"/>
  <c r="L213" i="1"/>
  <c r="J213" i="1"/>
  <c r="K213" i="1" s="1"/>
  <c r="N212" i="1"/>
  <c r="M212" i="1"/>
  <c r="L212" i="1"/>
  <c r="J212" i="1"/>
  <c r="K212" i="1" s="1"/>
  <c r="N211" i="1"/>
  <c r="M211" i="1"/>
  <c r="L211" i="1"/>
  <c r="J211" i="1"/>
  <c r="K211" i="1" s="1"/>
  <c r="N210" i="1"/>
  <c r="M210" i="1"/>
  <c r="L210" i="1"/>
  <c r="J210" i="1"/>
  <c r="K210" i="1" s="1"/>
  <c r="N209" i="1"/>
  <c r="M209" i="1"/>
  <c r="L209" i="1"/>
  <c r="J209" i="1"/>
  <c r="K209" i="1" s="1"/>
  <c r="N208" i="1"/>
  <c r="M208" i="1"/>
  <c r="L208" i="1"/>
  <c r="J208" i="1"/>
  <c r="K208" i="1" s="1"/>
  <c r="N207" i="1"/>
  <c r="M207" i="1"/>
  <c r="L207" i="1"/>
  <c r="J207" i="1"/>
  <c r="K207" i="1" s="1"/>
  <c r="N206" i="1"/>
  <c r="M206" i="1"/>
  <c r="L206" i="1"/>
  <c r="J206" i="1"/>
  <c r="K206" i="1" s="1"/>
  <c r="N205" i="1"/>
  <c r="M205" i="1"/>
  <c r="L205" i="1"/>
  <c r="J205" i="1"/>
  <c r="K205" i="1" s="1"/>
  <c r="N204" i="1"/>
  <c r="M204" i="1"/>
  <c r="L204" i="1"/>
  <c r="J204" i="1"/>
  <c r="K204" i="1" s="1"/>
  <c r="N203" i="1"/>
  <c r="M203" i="1"/>
  <c r="L203" i="1"/>
  <c r="J203" i="1"/>
  <c r="K203" i="1" s="1"/>
  <c r="N202" i="1"/>
  <c r="M202" i="1"/>
  <c r="L202" i="1"/>
  <c r="J202" i="1"/>
  <c r="K202" i="1" s="1"/>
  <c r="N201" i="1"/>
  <c r="M201" i="1"/>
  <c r="L201" i="1"/>
  <c r="J201" i="1"/>
  <c r="K201" i="1" s="1"/>
  <c r="N200" i="1"/>
  <c r="M200" i="1"/>
  <c r="L200" i="1"/>
  <c r="J200" i="1"/>
  <c r="K200" i="1" s="1"/>
  <c r="N199" i="1"/>
  <c r="M199" i="1"/>
  <c r="L199" i="1"/>
  <c r="J199" i="1"/>
  <c r="K199" i="1" s="1"/>
  <c r="N198" i="1"/>
  <c r="M198" i="1"/>
  <c r="L198" i="1"/>
  <c r="J198" i="1"/>
  <c r="K198" i="1" s="1"/>
  <c r="N197" i="1"/>
  <c r="M197" i="1"/>
  <c r="L197" i="1"/>
  <c r="J197" i="1"/>
  <c r="K197" i="1" s="1"/>
  <c r="N196" i="1"/>
  <c r="M196" i="1"/>
  <c r="L196" i="1"/>
  <c r="J196" i="1"/>
  <c r="K196" i="1" s="1"/>
  <c r="N195" i="1"/>
  <c r="M195" i="1"/>
  <c r="L195" i="1"/>
  <c r="J195" i="1"/>
  <c r="K195" i="1" s="1"/>
  <c r="N194" i="1"/>
  <c r="M194" i="1"/>
  <c r="L194" i="1"/>
  <c r="J194" i="1"/>
  <c r="K194" i="1" s="1"/>
  <c r="N193" i="1"/>
  <c r="M193" i="1"/>
  <c r="L193" i="1"/>
  <c r="J193" i="1"/>
  <c r="K193" i="1" s="1"/>
  <c r="N192" i="1"/>
  <c r="M192" i="1"/>
  <c r="L192" i="1"/>
  <c r="J192" i="1"/>
  <c r="K192" i="1" s="1"/>
  <c r="N191" i="1"/>
  <c r="M191" i="1"/>
  <c r="L191" i="1"/>
  <c r="J191" i="1"/>
  <c r="K191" i="1" s="1"/>
  <c r="N190" i="1"/>
  <c r="M190" i="1"/>
  <c r="L190" i="1"/>
  <c r="J190" i="1"/>
  <c r="K190" i="1" s="1"/>
  <c r="N189" i="1"/>
  <c r="M189" i="1"/>
  <c r="L189" i="1"/>
  <c r="J189" i="1"/>
  <c r="K189" i="1" s="1"/>
  <c r="N188" i="1"/>
  <c r="M188" i="1"/>
  <c r="L188" i="1"/>
  <c r="J188" i="1"/>
  <c r="K188" i="1" s="1"/>
  <c r="N187" i="1"/>
  <c r="M187" i="1"/>
  <c r="L187" i="1"/>
  <c r="J187" i="1"/>
  <c r="K187" i="1" s="1"/>
  <c r="N186" i="1"/>
  <c r="M186" i="1"/>
  <c r="L186" i="1"/>
  <c r="J186" i="1"/>
  <c r="K186" i="1" s="1"/>
  <c r="N185" i="1"/>
  <c r="M185" i="1"/>
  <c r="L185" i="1"/>
  <c r="J185" i="1"/>
  <c r="K185" i="1" s="1"/>
  <c r="N184" i="1"/>
  <c r="M184" i="1"/>
  <c r="L184" i="1"/>
  <c r="J184" i="1"/>
  <c r="K184" i="1" s="1"/>
  <c r="N183" i="1"/>
  <c r="M183" i="1"/>
  <c r="L183" i="1"/>
  <c r="J183" i="1"/>
  <c r="K183" i="1" s="1"/>
  <c r="N182" i="1"/>
  <c r="M182" i="1"/>
  <c r="L182" i="1"/>
  <c r="J182" i="1"/>
  <c r="K182" i="1" s="1"/>
  <c r="N181" i="1"/>
  <c r="M181" i="1"/>
  <c r="L181" i="1"/>
  <c r="J181" i="1"/>
  <c r="K181" i="1" s="1"/>
  <c r="N180" i="1"/>
  <c r="M180" i="1"/>
  <c r="L180" i="1"/>
  <c r="J180" i="1"/>
  <c r="K180" i="1" s="1"/>
  <c r="N179" i="1"/>
  <c r="M179" i="1"/>
  <c r="L179" i="1"/>
  <c r="J179" i="1"/>
  <c r="K179" i="1" s="1"/>
  <c r="N178" i="1"/>
  <c r="M178" i="1"/>
  <c r="L178" i="1"/>
  <c r="J178" i="1"/>
  <c r="K178" i="1" s="1"/>
  <c r="N177" i="1"/>
  <c r="M177" i="1"/>
  <c r="L177" i="1"/>
  <c r="J177" i="1"/>
  <c r="K177" i="1" s="1"/>
  <c r="N176" i="1"/>
  <c r="M176" i="1"/>
  <c r="L176" i="1"/>
  <c r="J176" i="1"/>
  <c r="K176" i="1" s="1"/>
  <c r="N175" i="1"/>
  <c r="M175" i="1"/>
  <c r="L175" i="1"/>
  <c r="J175" i="1"/>
  <c r="K175" i="1" s="1"/>
  <c r="N174" i="1"/>
  <c r="M174" i="1"/>
  <c r="L174" i="1"/>
  <c r="J174" i="1"/>
  <c r="K174" i="1" s="1"/>
  <c r="N173" i="1"/>
  <c r="M173" i="1"/>
  <c r="L173" i="1"/>
  <c r="J173" i="1"/>
  <c r="K173" i="1" s="1"/>
  <c r="N172" i="1"/>
  <c r="M172" i="1"/>
  <c r="L172" i="1"/>
  <c r="J172" i="1"/>
  <c r="K172" i="1" s="1"/>
  <c r="N171" i="1"/>
  <c r="M171" i="1"/>
  <c r="L171" i="1"/>
  <c r="J171" i="1"/>
  <c r="K171" i="1" s="1"/>
  <c r="N170" i="1"/>
  <c r="M170" i="1"/>
  <c r="L170" i="1"/>
  <c r="J170" i="1"/>
  <c r="K170" i="1" s="1"/>
  <c r="N169" i="1"/>
  <c r="M169" i="1"/>
  <c r="L169" i="1"/>
  <c r="J169" i="1"/>
  <c r="K169" i="1" s="1"/>
  <c r="N168" i="1"/>
  <c r="M168" i="1"/>
  <c r="L168" i="1"/>
  <c r="J168" i="1"/>
  <c r="K168" i="1" s="1"/>
  <c r="N167" i="1"/>
  <c r="M167" i="1"/>
  <c r="L167" i="1"/>
  <c r="J167" i="1"/>
  <c r="K167" i="1" s="1"/>
  <c r="N166" i="1"/>
  <c r="M166" i="1"/>
  <c r="L166" i="1"/>
  <c r="J166" i="1"/>
  <c r="K166" i="1" s="1"/>
  <c r="N165" i="1"/>
  <c r="M165" i="1"/>
  <c r="L165" i="1"/>
  <c r="J165" i="1"/>
  <c r="K165" i="1" s="1"/>
  <c r="N164" i="1"/>
  <c r="M164" i="1"/>
  <c r="L164" i="1"/>
  <c r="J164" i="1"/>
  <c r="K164" i="1" s="1"/>
  <c r="N163" i="1"/>
  <c r="M163" i="1"/>
  <c r="L163" i="1"/>
  <c r="J163" i="1"/>
  <c r="K163" i="1" s="1"/>
  <c r="N162" i="1"/>
  <c r="M162" i="1"/>
  <c r="L162" i="1"/>
  <c r="J162" i="1"/>
  <c r="K162" i="1" s="1"/>
  <c r="N161" i="1"/>
  <c r="M161" i="1"/>
  <c r="L161" i="1"/>
  <c r="J161" i="1"/>
  <c r="K161" i="1" s="1"/>
  <c r="N160" i="1"/>
  <c r="M160" i="1"/>
  <c r="L160" i="1"/>
  <c r="J160" i="1"/>
  <c r="K160" i="1" s="1"/>
  <c r="N159" i="1"/>
  <c r="M159" i="1"/>
  <c r="L159" i="1"/>
  <c r="J159" i="1"/>
  <c r="K159" i="1" s="1"/>
  <c r="N158" i="1"/>
  <c r="M158" i="1"/>
  <c r="L158" i="1"/>
  <c r="J158" i="1"/>
  <c r="K158" i="1" s="1"/>
  <c r="N157" i="1"/>
  <c r="M157" i="1"/>
  <c r="L157" i="1"/>
  <c r="J157" i="1"/>
  <c r="K157" i="1" s="1"/>
  <c r="N156" i="1"/>
  <c r="M156" i="1"/>
  <c r="L156" i="1"/>
  <c r="J156" i="1"/>
  <c r="K156" i="1" s="1"/>
  <c r="N155" i="1"/>
  <c r="M155" i="1"/>
  <c r="L155" i="1"/>
  <c r="J155" i="1"/>
  <c r="K155" i="1" s="1"/>
  <c r="N154" i="1"/>
  <c r="M154" i="1"/>
  <c r="L154" i="1"/>
  <c r="J154" i="1"/>
  <c r="K154" i="1" s="1"/>
  <c r="N153" i="1"/>
  <c r="M153" i="1"/>
  <c r="L153" i="1"/>
  <c r="J153" i="1"/>
  <c r="K153" i="1" s="1"/>
  <c r="N152" i="1"/>
  <c r="M152" i="1"/>
  <c r="L152" i="1"/>
  <c r="J152" i="1"/>
  <c r="K152" i="1" s="1"/>
  <c r="N151" i="1"/>
  <c r="M151" i="1"/>
  <c r="L151" i="1"/>
  <c r="J151" i="1"/>
  <c r="K151" i="1" s="1"/>
  <c r="N150" i="1"/>
  <c r="M150" i="1"/>
  <c r="L150" i="1"/>
  <c r="J150" i="1"/>
  <c r="K150" i="1" s="1"/>
  <c r="N149" i="1"/>
  <c r="M149" i="1"/>
  <c r="L149" i="1"/>
  <c r="J149" i="1"/>
  <c r="K149" i="1" s="1"/>
  <c r="N148" i="1"/>
  <c r="M148" i="1"/>
  <c r="L148" i="1"/>
  <c r="J148" i="1"/>
  <c r="K148" i="1" s="1"/>
  <c r="N147" i="1"/>
  <c r="M147" i="1"/>
  <c r="L147" i="1"/>
  <c r="J147" i="1"/>
  <c r="K147" i="1" s="1"/>
  <c r="N146" i="1"/>
  <c r="M146" i="1"/>
  <c r="L146" i="1"/>
  <c r="J146" i="1"/>
  <c r="K146" i="1" s="1"/>
  <c r="N145" i="1"/>
  <c r="M145" i="1"/>
  <c r="L145" i="1"/>
  <c r="J145" i="1"/>
  <c r="K145" i="1" s="1"/>
  <c r="N144" i="1"/>
  <c r="M144" i="1"/>
  <c r="L144" i="1"/>
  <c r="J144" i="1"/>
  <c r="K144" i="1" s="1"/>
  <c r="N143" i="1"/>
  <c r="M143" i="1"/>
  <c r="L143" i="1"/>
  <c r="J143" i="1"/>
  <c r="K143" i="1" s="1"/>
  <c r="N142" i="1"/>
  <c r="M142" i="1"/>
  <c r="L142" i="1"/>
  <c r="J142" i="1"/>
  <c r="K142" i="1" s="1"/>
  <c r="N141" i="1"/>
  <c r="M141" i="1"/>
  <c r="L141" i="1"/>
  <c r="J141" i="1"/>
  <c r="K141" i="1" s="1"/>
  <c r="N140" i="1"/>
  <c r="M140" i="1"/>
  <c r="L140" i="1"/>
  <c r="J140" i="1"/>
  <c r="K140" i="1" s="1"/>
  <c r="N139" i="1"/>
  <c r="M139" i="1"/>
  <c r="L139" i="1"/>
  <c r="J139" i="1"/>
  <c r="K139" i="1" s="1"/>
  <c r="N138" i="1"/>
  <c r="M138" i="1"/>
  <c r="L138" i="1"/>
  <c r="J138" i="1"/>
  <c r="K138" i="1" s="1"/>
  <c r="N137" i="1"/>
  <c r="M137" i="1"/>
  <c r="L137" i="1"/>
  <c r="J137" i="1"/>
  <c r="K137" i="1" s="1"/>
  <c r="N136" i="1"/>
  <c r="M136" i="1"/>
  <c r="L136" i="1"/>
  <c r="J136" i="1"/>
  <c r="K136" i="1" s="1"/>
  <c r="N135" i="1"/>
  <c r="M135" i="1"/>
  <c r="L135" i="1"/>
  <c r="J135" i="1"/>
  <c r="K135" i="1" s="1"/>
  <c r="N134" i="1"/>
  <c r="M134" i="1"/>
  <c r="L134" i="1"/>
  <c r="J134" i="1"/>
  <c r="K134" i="1" s="1"/>
  <c r="N133" i="1"/>
  <c r="M133" i="1"/>
  <c r="L133" i="1"/>
  <c r="J133" i="1"/>
  <c r="K133" i="1" s="1"/>
  <c r="N132" i="1"/>
  <c r="M132" i="1"/>
  <c r="L132" i="1"/>
  <c r="J132" i="1"/>
  <c r="K132" i="1" s="1"/>
  <c r="N131" i="1"/>
  <c r="M131" i="1"/>
  <c r="L131" i="1"/>
  <c r="J131" i="1"/>
  <c r="K131" i="1" s="1"/>
  <c r="N130" i="1"/>
  <c r="M130" i="1"/>
  <c r="L130" i="1"/>
  <c r="J130" i="1"/>
  <c r="K130" i="1" s="1"/>
  <c r="N129" i="1"/>
  <c r="M129" i="1"/>
  <c r="L129" i="1"/>
  <c r="J129" i="1"/>
  <c r="K129" i="1" s="1"/>
  <c r="N128" i="1"/>
  <c r="M128" i="1"/>
  <c r="L128" i="1"/>
  <c r="J128" i="1"/>
  <c r="K128" i="1" s="1"/>
  <c r="N127" i="1"/>
  <c r="M127" i="1"/>
  <c r="L127" i="1"/>
  <c r="J127" i="1"/>
  <c r="K127" i="1" s="1"/>
  <c r="N126" i="1"/>
  <c r="M126" i="1"/>
  <c r="L126" i="1"/>
  <c r="J126" i="1"/>
  <c r="K126" i="1" s="1"/>
  <c r="N125" i="1"/>
  <c r="M125" i="1"/>
  <c r="L125" i="1"/>
  <c r="J125" i="1"/>
  <c r="K125" i="1" s="1"/>
  <c r="N124" i="1"/>
  <c r="M124" i="1"/>
  <c r="L124" i="1"/>
  <c r="J124" i="1"/>
  <c r="K124" i="1" s="1"/>
  <c r="N123" i="1"/>
  <c r="M123" i="1"/>
  <c r="L123" i="1"/>
  <c r="J123" i="1"/>
  <c r="K123" i="1" s="1"/>
  <c r="N122" i="1"/>
  <c r="M122" i="1"/>
  <c r="L122" i="1"/>
  <c r="J122" i="1"/>
  <c r="K122" i="1" s="1"/>
  <c r="N121" i="1"/>
  <c r="M121" i="1"/>
  <c r="L121" i="1"/>
  <c r="J121" i="1"/>
  <c r="K121" i="1" s="1"/>
  <c r="N120" i="1"/>
  <c r="M120" i="1"/>
  <c r="L120" i="1"/>
  <c r="J120" i="1"/>
  <c r="K120" i="1" s="1"/>
  <c r="N119" i="1"/>
  <c r="M119" i="1"/>
  <c r="L119" i="1"/>
  <c r="J119" i="1"/>
  <c r="K119" i="1" s="1"/>
  <c r="N118" i="1"/>
  <c r="M118" i="1"/>
  <c r="L118" i="1"/>
  <c r="J118" i="1"/>
  <c r="K118" i="1" s="1"/>
  <c r="N117" i="1"/>
  <c r="M117" i="1"/>
  <c r="L117" i="1"/>
  <c r="J117" i="1"/>
  <c r="K117" i="1" s="1"/>
  <c r="N116" i="1"/>
  <c r="M116" i="1"/>
  <c r="L116" i="1"/>
  <c r="J116" i="1"/>
  <c r="K116" i="1" s="1"/>
  <c r="N115" i="1"/>
  <c r="M115" i="1"/>
  <c r="L115" i="1"/>
  <c r="J115" i="1"/>
  <c r="K115" i="1" s="1"/>
  <c r="N114" i="1"/>
  <c r="M114" i="1"/>
  <c r="L114" i="1"/>
  <c r="J114" i="1"/>
  <c r="K114" i="1" s="1"/>
  <c r="N113" i="1"/>
  <c r="M113" i="1"/>
  <c r="L113" i="1"/>
  <c r="J113" i="1"/>
  <c r="K113" i="1" s="1"/>
  <c r="N112" i="1"/>
  <c r="M112" i="1"/>
  <c r="L112" i="1"/>
  <c r="J112" i="1"/>
  <c r="K112" i="1" s="1"/>
  <c r="N111" i="1"/>
  <c r="M111" i="1"/>
  <c r="L111" i="1"/>
  <c r="J111" i="1"/>
  <c r="K111" i="1" s="1"/>
  <c r="N110" i="1"/>
  <c r="M110" i="1"/>
  <c r="L110" i="1"/>
  <c r="J110" i="1"/>
  <c r="K110" i="1" s="1"/>
  <c r="N109" i="1"/>
  <c r="M109" i="1"/>
  <c r="L109" i="1"/>
  <c r="J109" i="1"/>
  <c r="K109" i="1" s="1"/>
  <c r="N108" i="1"/>
  <c r="M108" i="1"/>
  <c r="L108" i="1"/>
  <c r="J108" i="1"/>
  <c r="K108" i="1" s="1"/>
  <c r="N107" i="1"/>
  <c r="M107" i="1"/>
  <c r="L107" i="1"/>
  <c r="J107" i="1"/>
  <c r="K107" i="1" s="1"/>
  <c r="N106" i="1"/>
  <c r="M106" i="1"/>
  <c r="L106" i="1"/>
  <c r="J106" i="1"/>
  <c r="K106" i="1" s="1"/>
  <c r="N105" i="1"/>
  <c r="M105" i="1"/>
  <c r="L105" i="1"/>
  <c r="J105" i="1"/>
  <c r="K105" i="1" s="1"/>
  <c r="N104" i="1"/>
  <c r="M104" i="1"/>
  <c r="L104" i="1"/>
  <c r="J104" i="1"/>
  <c r="K104" i="1" s="1"/>
  <c r="N103" i="1"/>
  <c r="M103" i="1"/>
  <c r="L103" i="1"/>
  <c r="J103" i="1"/>
  <c r="K103" i="1" s="1"/>
  <c r="N102" i="1"/>
  <c r="M102" i="1"/>
  <c r="L102" i="1"/>
  <c r="J102" i="1"/>
  <c r="K102" i="1" s="1"/>
  <c r="N101" i="1"/>
  <c r="M101" i="1"/>
  <c r="L101" i="1"/>
  <c r="J101" i="1"/>
  <c r="K101" i="1" s="1"/>
  <c r="N100" i="1"/>
  <c r="M100" i="1"/>
  <c r="L100" i="1"/>
  <c r="J100" i="1"/>
  <c r="K100" i="1" s="1"/>
  <c r="N99" i="1"/>
  <c r="M99" i="1"/>
  <c r="L99" i="1"/>
  <c r="J99" i="1"/>
  <c r="K99" i="1" s="1"/>
  <c r="N98" i="1"/>
  <c r="M98" i="1"/>
  <c r="L98" i="1"/>
  <c r="J98" i="1"/>
  <c r="K98" i="1" s="1"/>
  <c r="N97" i="1"/>
  <c r="M97" i="1"/>
  <c r="L97" i="1"/>
  <c r="J97" i="1"/>
  <c r="K97" i="1" s="1"/>
  <c r="N96" i="1"/>
  <c r="M96" i="1"/>
  <c r="L96" i="1"/>
  <c r="J96" i="1"/>
  <c r="K96" i="1" s="1"/>
  <c r="N95" i="1"/>
  <c r="M95" i="1"/>
  <c r="L95" i="1"/>
  <c r="J95" i="1"/>
  <c r="K95" i="1" s="1"/>
  <c r="N94" i="1"/>
  <c r="M94" i="1"/>
  <c r="L94" i="1"/>
  <c r="J94" i="1"/>
  <c r="K94" i="1" s="1"/>
  <c r="N93" i="1"/>
  <c r="M93" i="1"/>
  <c r="L93" i="1"/>
  <c r="J93" i="1"/>
  <c r="K93" i="1" s="1"/>
  <c r="N92" i="1"/>
  <c r="M92" i="1"/>
  <c r="L92" i="1"/>
  <c r="J92" i="1"/>
  <c r="K92" i="1" s="1"/>
  <c r="N91" i="1"/>
  <c r="M91" i="1"/>
  <c r="L91" i="1"/>
  <c r="J91" i="1"/>
  <c r="K91" i="1" s="1"/>
  <c r="N90" i="1"/>
  <c r="M90" i="1"/>
  <c r="L90" i="1"/>
  <c r="J90" i="1"/>
  <c r="K90" i="1" s="1"/>
  <c r="N89" i="1"/>
  <c r="M89" i="1"/>
  <c r="L89" i="1"/>
  <c r="J89" i="1"/>
  <c r="K89" i="1" s="1"/>
  <c r="N88" i="1"/>
  <c r="M88" i="1"/>
  <c r="L88" i="1"/>
  <c r="J88" i="1"/>
  <c r="K88" i="1" s="1"/>
  <c r="N87" i="1"/>
  <c r="M87" i="1"/>
  <c r="L87" i="1"/>
  <c r="J87" i="1"/>
  <c r="K87" i="1" s="1"/>
  <c r="N86" i="1"/>
  <c r="M86" i="1"/>
  <c r="L86" i="1"/>
  <c r="J86" i="1"/>
  <c r="K86" i="1" s="1"/>
  <c r="N85" i="1"/>
  <c r="M85" i="1"/>
  <c r="L85" i="1"/>
  <c r="J85" i="1"/>
  <c r="K85" i="1" s="1"/>
  <c r="N84" i="1"/>
  <c r="M84" i="1"/>
  <c r="L84" i="1"/>
  <c r="J84" i="1"/>
  <c r="K84" i="1" s="1"/>
  <c r="N83" i="1"/>
  <c r="M83" i="1"/>
  <c r="L83" i="1"/>
  <c r="J83" i="1"/>
  <c r="K83" i="1" s="1"/>
  <c r="N82" i="1"/>
  <c r="M82" i="1"/>
  <c r="L82" i="1"/>
  <c r="J82" i="1"/>
  <c r="K82" i="1" s="1"/>
  <c r="N81" i="1"/>
  <c r="M81" i="1"/>
  <c r="L81" i="1"/>
  <c r="J81" i="1"/>
  <c r="K81" i="1" s="1"/>
  <c r="N80" i="1"/>
  <c r="M80" i="1"/>
  <c r="L80" i="1"/>
  <c r="J80" i="1"/>
  <c r="K80" i="1" s="1"/>
  <c r="N79" i="1"/>
  <c r="M79" i="1"/>
  <c r="L79" i="1"/>
  <c r="J79" i="1"/>
  <c r="K79" i="1" s="1"/>
  <c r="N78" i="1"/>
  <c r="M78" i="1"/>
  <c r="L78" i="1"/>
  <c r="J78" i="1"/>
  <c r="K78" i="1" s="1"/>
  <c r="N77" i="1"/>
  <c r="M77" i="1"/>
  <c r="L77" i="1"/>
  <c r="J77" i="1"/>
  <c r="K77" i="1" s="1"/>
  <c r="N76" i="1"/>
  <c r="M76" i="1"/>
  <c r="L76" i="1"/>
  <c r="J76" i="1"/>
  <c r="K76" i="1" s="1"/>
  <c r="N75" i="1"/>
  <c r="M75" i="1"/>
  <c r="L75" i="1"/>
  <c r="J75" i="1"/>
  <c r="K75" i="1" s="1"/>
  <c r="N74" i="1"/>
  <c r="M74" i="1"/>
  <c r="L74" i="1"/>
  <c r="J74" i="1"/>
  <c r="K74" i="1" s="1"/>
  <c r="N73" i="1"/>
  <c r="M73" i="1"/>
  <c r="L73" i="1"/>
  <c r="J73" i="1"/>
  <c r="K73" i="1" s="1"/>
  <c r="N72" i="1"/>
  <c r="M72" i="1"/>
  <c r="L72" i="1"/>
  <c r="J72" i="1"/>
  <c r="K72" i="1" s="1"/>
  <c r="N71" i="1"/>
  <c r="M71" i="1"/>
  <c r="L71" i="1"/>
  <c r="J71" i="1"/>
  <c r="K71" i="1" s="1"/>
  <c r="N70" i="1"/>
  <c r="M70" i="1"/>
  <c r="L70" i="1"/>
  <c r="J70" i="1"/>
  <c r="K70" i="1" s="1"/>
  <c r="N69" i="1"/>
  <c r="M69" i="1"/>
  <c r="L69" i="1"/>
  <c r="J69" i="1"/>
  <c r="K69" i="1" s="1"/>
  <c r="N68" i="1"/>
  <c r="M68" i="1"/>
  <c r="L68" i="1"/>
  <c r="J68" i="1"/>
  <c r="K68" i="1" s="1"/>
  <c r="N67" i="1"/>
  <c r="M67" i="1"/>
  <c r="L67" i="1"/>
  <c r="J67" i="1"/>
  <c r="K67" i="1" s="1"/>
  <c r="N66" i="1"/>
  <c r="M66" i="1"/>
  <c r="L66" i="1"/>
  <c r="J66" i="1"/>
  <c r="K66" i="1" s="1"/>
  <c r="N65" i="1"/>
  <c r="M65" i="1"/>
  <c r="L65" i="1"/>
  <c r="J65" i="1"/>
  <c r="K65" i="1" s="1"/>
  <c r="N64" i="1"/>
  <c r="M64" i="1"/>
  <c r="L64" i="1"/>
  <c r="J64" i="1"/>
  <c r="K64" i="1" s="1"/>
  <c r="N63" i="1"/>
  <c r="M63" i="1"/>
  <c r="L63" i="1"/>
  <c r="J63" i="1"/>
  <c r="K63" i="1" s="1"/>
  <c r="N62" i="1"/>
  <c r="M62" i="1"/>
  <c r="L62" i="1"/>
  <c r="J62" i="1"/>
  <c r="K62" i="1" s="1"/>
  <c r="N61" i="1"/>
  <c r="M61" i="1"/>
  <c r="L61" i="1"/>
  <c r="J61" i="1"/>
  <c r="K61" i="1" s="1"/>
  <c r="N60" i="1"/>
  <c r="M60" i="1"/>
  <c r="L60" i="1"/>
  <c r="J60" i="1"/>
  <c r="K60" i="1" s="1"/>
  <c r="N59" i="1"/>
  <c r="M59" i="1"/>
  <c r="L59" i="1"/>
  <c r="J59" i="1"/>
  <c r="K59" i="1" s="1"/>
  <c r="N58" i="1"/>
  <c r="M58" i="1"/>
  <c r="L58" i="1"/>
  <c r="J58" i="1"/>
  <c r="K58" i="1" s="1"/>
  <c r="N57" i="1"/>
  <c r="M57" i="1"/>
  <c r="L57" i="1"/>
  <c r="J57" i="1"/>
  <c r="K57" i="1" s="1"/>
  <c r="N56" i="1"/>
  <c r="M56" i="1"/>
  <c r="L56" i="1"/>
  <c r="J56" i="1"/>
  <c r="K56" i="1" s="1"/>
  <c r="N55" i="1"/>
  <c r="M55" i="1"/>
  <c r="L55" i="1"/>
  <c r="J55" i="1"/>
  <c r="K55" i="1" s="1"/>
  <c r="N54" i="1"/>
  <c r="M54" i="1"/>
  <c r="L54" i="1"/>
  <c r="J54" i="1"/>
  <c r="K54" i="1" s="1"/>
  <c r="N53" i="1"/>
  <c r="M53" i="1"/>
  <c r="L53" i="1"/>
  <c r="J53" i="1"/>
  <c r="K53" i="1" s="1"/>
  <c r="N52" i="1"/>
  <c r="M52" i="1"/>
  <c r="L52" i="1"/>
  <c r="J52" i="1"/>
  <c r="K52" i="1" s="1"/>
  <c r="N51" i="1"/>
  <c r="M51" i="1"/>
  <c r="L51" i="1"/>
  <c r="J51" i="1"/>
  <c r="K51" i="1" s="1"/>
  <c r="N50" i="1"/>
  <c r="M50" i="1"/>
  <c r="L50" i="1"/>
  <c r="J50" i="1"/>
  <c r="K50" i="1" s="1"/>
  <c r="N49" i="1"/>
  <c r="M49" i="1"/>
  <c r="L49" i="1"/>
  <c r="J49" i="1"/>
  <c r="K49" i="1" s="1"/>
  <c r="N48" i="1"/>
  <c r="M48" i="1"/>
  <c r="L48" i="1"/>
  <c r="J48" i="1"/>
  <c r="K48" i="1" s="1"/>
  <c r="N47" i="1"/>
  <c r="M47" i="1"/>
  <c r="L47" i="1"/>
  <c r="J47" i="1"/>
  <c r="K47" i="1" s="1"/>
  <c r="N46" i="1"/>
  <c r="M46" i="1"/>
  <c r="L46" i="1"/>
  <c r="J46" i="1"/>
  <c r="K46" i="1" s="1"/>
  <c r="N45" i="1"/>
  <c r="M45" i="1"/>
  <c r="L45" i="1"/>
  <c r="J45" i="1"/>
  <c r="K45" i="1" s="1"/>
  <c r="N44" i="1"/>
  <c r="M44" i="1"/>
  <c r="L44" i="1"/>
  <c r="J44" i="1"/>
  <c r="K44" i="1" s="1"/>
  <c r="N43" i="1"/>
  <c r="M43" i="1"/>
  <c r="L43" i="1"/>
  <c r="J43" i="1"/>
  <c r="K43" i="1" s="1"/>
  <c r="N42" i="1"/>
  <c r="M42" i="1"/>
  <c r="L42" i="1"/>
  <c r="J42" i="1"/>
  <c r="K42" i="1" s="1"/>
  <c r="N41" i="1"/>
  <c r="M41" i="1"/>
  <c r="L41" i="1"/>
  <c r="J41" i="1"/>
  <c r="K41" i="1" s="1"/>
  <c r="N40" i="1"/>
  <c r="M40" i="1"/>
  <c r="L40" i="1"/>
  <c r="J40" i="1"/>
  <c r="K40" i="1" s="1"/>
  <c r="N39" i="1"/>
  <c r="M39" i="1"/>
  <c r="L39" i="1"/>
  <c r="J39" i="1"/>
  <c r="K39" i="1" s="1"/>
  <c r="N38" i="1"/>
  <c r="M38" i="1"/>
  <c r="L38" i="1"/>
  <c r="J38" i="1"/>
  <c r="K38" i="1" s="1"/>
  <c r="N37" i="1"/>
  <c r="M37" i="1"/>
  <c r="L37" i="1"/>
  <c r="K37" i="1"/>
  <c r="J37" i="1"/>
  <c r="N36" i="1"/>
  <c r="M36" i="1"/>
  <c r="L36" i="1"/>
  <c r="J36" i="1"/>
  <c r="K36" i="1" s="1"/>
  <c r="N35" i="1"/>
  <c r="M35" i="1"/>
  <c r="L35" i="1"/>
  <c r="J35" i="1"/>
  <c r="K35" i="1" s="1"/>
  <c r="N34" i="1"/>
  <c r="M34" i="1"/>
  <c r="L34" i="1"/>
  <c r="J34" i="1"/>
  <c r="K34" i="1" s="1"/>
  <c r="N33" i="1"/>
  <c r="M33" i="1"/>
  <c r="L33" i="1"/>
  <c r="J33" i="1"/>
  <c r="K33" i="1" s="1"/>
  <c r="N32" i="1"/>
  <c r="M32" i="1"/>
  <c r="L32" i="1"/>
  <c r="J32" i="1"/>
  <c r="K32" i="1" s="1"/>
  <c r="N31" i="1"/>
  <c r="M31" i="1"/>
  <c r="L31" i="1"/>
  <c r="J31" i="1"/>
  <c r="K31" i="1" s="1"/>
  <c r="N30" i="1"/>
  <c r="M30" i="1"/>
  <c r="L30" i="1"/>
  <c r="J30" i="1"/>
  <c r="K30" i="1" s="1"/>
  <c r="N29" i="1"/>
  <c r="M29" i="1"/>
  <c r="L29" i="1"/>
  <c r="J29" i="1"/>
  <c r="K29" i="1" s="1"/>
  <c r="N28" i="1"/>
  <c r="M28" i="1"/>
  <c r="L28" i="1"/>
  <c r="J28" i="1"/>
  <c r="K28" i="1" s="1"/>
  <c r="N27" i="1"/>
  <c r="M27" i="1"/>
  <c r="L27" i="1"/>
  <c r="J27" i="1"/>
  <c r="K27" i="1" s="1"/>
  <c r="N26" i="1"/>
  <c r="M26" i="1"/>
  <c r="L26" i="1"/>
  <c r="J26" i="1"/>
  <c r="K26" i="1" s="1"/>
  <c r="N25" i="1"/>
  <c r="M25" i="1"/>
  <c r="L25" i="1"/>
  <c r="J25" i="1"/>
  <c r="K25" i="1" s="1"/>
  <c r="N24" i="1"/>
  <c r="M24" i="1"/>
  <c r="L24" i="1"/>
  <c r="J24" i="1"/>
  <c r="K24" i="1" s="1"/>
  <c r="N23" i="1"/>
  <c r="M23" i="1"/>
  <c r="L23" i="1"/>
  <c r="J23" i="1"/>
  <c r="K23" i="1" s="1"/>
  <c r="N22" i="1"/>
  <c r="M22" i="1"/>
  <c r="L22" i="1"/>
  <c r="J22" i="1"/>
  <c r="K22" i="1" s="1"/>
  <c r="N21" i="1"/>
  <c r="M21" i="1"/>
  <c r="L21" i="1"/>
  <c r="J21" i="1"/>
  <c r="K21" i="1" s="1"/>
  <c r="N20" i="1"/>
  <c r="M20" i="1"/>
  <c r="L20" i="1"/>
  <c r="J20" i="1"/>
  <c r="K20" i="1" s="1"/>
  <c r="N19" i="1"/>
  <c r="M19" i="1"/>
  <c r="L19" i="1"/>
  <c r="J19" i="1"/>
  <c r="K19" i="1" s="1"/>
  <c r="N18" i="1"/>
  <c r="M18" i="1"/>
  <c r="L18" i="1"/>
  <c r="J18" i="1"/>
  <c r="K18" i="1" s="1"/>
  <c r="N17" i="1"/>
  <c r="M17" i="1"/>
  <c r="L17" i="1"/>
  <c r="J17" i="1"/>
  <c r="K17" i="1" s="1"/>
  <c r="N16" i="1"/>
  <c r="M16" i="1"/>
  <c r="L16" i="1"/>
  <c r="J16" i="1"/>
  <c r="K16" i="1" s="1"/>
  <c r="N15" i="1"/>
  <c r="M15" i="1"/>
  <c r="L15" i="1"/>
  <c r="J15" i="1"/>
  <c r="K15" i="1" s="1"/>
  <c r="N14" i="1"/>
  <c r="M14" i="1"/>
  <c r="L14" i="1"/>
  <c r="J14" i="1"/>
  <c r="K14" i="1" s="1"/>
  <c r="N13" i="1"/>
  <c r="M13" i="1"/>
  <c r="L13" i="1"/>
  <c r="J13" i="1"/>
  <c r="K13" i="1" s="1"/>
  <c r="N12" i="1"/>
  <c r="M12" i="1"/>
  <c r="L12" i="1"/>
  <c r="J12" i="1"/>
  <c r="K12" i="1" s="1"/>
  <c r="N11" i="1"/>
  <c r="M11" i="1"/>
  <c r="L11" i="1"/>
  <c r="J11" i="1"/>
  <c r="K11" i="1" s="1"/>
  <c r="N10" i="1"/>
  <c r="M10" i="1"/>
  <c r="L10" i="1"/>
  <c r="J10" i="1"/>
  <c r="K10" i="1" s="1"/>
  <c r="N9" i="1"/>
  <c r="M9" i="1"/>
  <c r="L9" i="1"/>
  <c r="J9" i="1"/>
  <c r="K9" i="1" s="1"/>
  <c r="N8" i="1"/>
  <c r="M8" i="1"/>
  <c r="L8" i="1"/>
  <c r="J8" i="1"/>
  <c r="K8" i="1" s="1"/>
  <c r="N7" i="1"/>
  <c r="M7" i="1"/>
  <c r="L7" i="1"/>
  <c r="J7" i="1"/>
  <c r="K7" i="1" s="1"/>
  <c r="N6" i="1"/>
  <c r="M6" i="1"/>
  <c r="L6" i="1"/>
  <c r="J6" i="1"/>
  <c r="K6" i="1" s="1"/>
  <c r="N5" i="1"/>
  <c r="M5" i="1"/>
  <c r="L5" i="1"/>
  <c r="J5" i="1"/>
  <c r="K5" i="1" s="1"/>
  <c r="N4" i="1"/>
  <c r="M4" i="1"/>
  <c r="L4" i="1"/>
  <c r="J4" i="1"/>
  <c r="K4" i="1" s="1"/>
  <c r="N3" i="1"/>
  <c r="M3" i="1"/>
  <c r="L3" i="1"/>
  <c r="J3" i="1"/>
  <c r="K3" i="1" s="1"/>
  <c r="J10" i="13" l="1"/>
  <c r="O10" i="13"/>
  <c r="O13" i="13"/>
  <c r="O6" i="13"/>
  <c r="O14" i="13"/>
  <c r="O7" i="13"/>
  <c r="O8" i="13"/>
  <c r="O11" i="13"/>
  <c r="O4" i="13"/>
  <c r="O9" i="13"/>
  <c r="O12" i="13"/>
  <c r="O5" i="13"/>
  <c r="M6" i="12"/>
  <c r="J6" i="12"/>
  <c r="K6" i="12" s="1"/>
  <c r="M5" i="12"/>
  <c r="J5" i="12"/>
  <c r="K5" i="12" s="1"/>
  <c r="K46" i="7"/>
  <c r="K45" i="7"/>
  <c r="K44" i="7"/>
  <c r="K43" i="7"/>
  <c r="E39" i="7"/>
  <c r="E38" i="7"/>
  <c r="E37" i="7"/>
  <c r="E98" i="8"/>
  <c r="O13" i="7"/>
  <c r="M13" i="7"/>
  <c r="J13" i="7"/>
  <c r="K13" i="7" s="1"/>
  <c r="O12" i="7"/>
  <c r="M12" i="7"/>
  <c r="J12" i="7"/>
  <c r="K12" i="7" s="1"/>
  <c r="M44" i="4"/>
  <c r="E63" i="4"/>
  <c r="E58" i="4"/>
  <c r="E57" i="4"/>
  <c r="J46" i="6"/>
  <c r="K46" i="6" s="1"/>
  <c r="M46" i="6"/>
  <c r="O46" i="6"/>
  <c r="M11" i="13" l="1"/>
  <c r="M8" i="13"/>
  <c r="M7" i="13"/>
  <c r="M14" i="13"/>
  <c r="M6" i="13"/>
  <c r="M13" i="13"/>
  <c r="M10" i="13"/>
  <c r="M4" i="13"/>
  <c r="M9" i="13"/>
  <c r="M12" i="13"/>
  <c r="M5" i="13"/>
  <c r="M7" i="11"/>
  <c r="M6" i="11"/>
  <c r="M9" i="11"/>
  <c r="M8" i="11"/>
  <c r="M5" i="11"/>
  <c r="M4" i="11"/>
  <c r="M4" i="10"/>
  <c r="M6" i="10"/>
  <c r="M8" i="10"/>
  <c r="M7" i="10"/>
  <c r="M9" i="10"/>
  <c r="M5" i="10"/>
  <c r="O5" i="10"/>
  <c r="O9" i="10"/>
  <c r="O7" i="10"/>
  <c r="O8" i="10"/>
  <c r="O6" i="10"/>
  <c r="M9" i="9"/>
  <c r="M8" i="9"/>
  <c r="M7" i="9"/>
  <c r="M12" i="9"/>
  <c r="M11" i="9"/>
  <c r="M10" i="9"/>
  <c r="M6" i="9"/>
  <c r="M5" i="9"/>
  <c r="M4" i="9"/>
  <c r="K105" i="8"/>
  <c r="K106" i="8"/>
  <c r="M82" i="8"/>
  <c r="M83" i="8"/>
  <c r="M84" i="8"/>
  <c r="M86" i="8"/>
  <c r="M88" i="8"/>
  <c r="M93" i="8"/>
  <c r="M94" i="8"/>
  <c r="M46" i="8"/>
  <c r="M57" i="8"/>
  <c r="M58" i="8"/>
  <c r="M59" i="8"/>
  <c r="M60" i="8"/>
  <c r="M4" i="8"/>
  <c r="M5" i="8"/>
  <c r="M6" i="8"/>
  <c r="M7" i="8"/>
  <c r="M8" i="8"/>
  <c r="M26" i="8"/>
  <c r="M27" i="8"/>
  <c r="M28" i="8"/>
  <c r="M29" i="8"/>
  <c r="M30" i="8"/>
  <c r="M31" i="8"/>
  <c r="M32" i="8"/>
  <c r="M34" i="8"/>
  <c r="M36" i="8"/>
  <c r="M37" i="8"/>
  <c r="M38" i="8"/>
  <c r="M43" i="8"/>
  <c r="M44" i="8"/>
  <c r="M45" i="8"/>
  <c r="M47" i="8"/>
  <c r="M71" i="8"/>
  <c r="M48" i="8"/>
  <c r="M72" i="8"/>
  <c r="M73" i="8"/>
  <c r="M49" i="8"/>
  <c r="M74" i="8"/>
  <c r="M50" i="8"/>
  <c r="M75" i="8"/>
  <c r="M51" i="8"/>
  <c r="M76" i="8"/>
  <c r="M52" i="8"/>
  <c r="M77" i="8"/>
  <c r="M53" i="8"/>
  <c r="M15" i="8"/>
  <c r="M20" i="8"/>
  <c r="M16" i="8"/>
  <c r="M17" i="8"/>
  <c r="M78" i="8"/>
  <c r="M54" i="8"/>
  <c r="M14" i="8"/>
  <c r="M13" i="8"/>
  <c r="M79" i="8"/>
  <c r="M55" i="8"/>
  <c r="M9" i="8"/>
  <c r="M19" i="8"/>
  <c r="M12" i="8"/>
  <c r="M18" i="8"/>
  <c r="M11" i="8"/>
  <c r="M21" i="8"/>
  <c r="M10" i="8"/>
  <c r="M22" i="8"/>
  <c r="M23" i="8"/>
  <c r="M81" i="8"/>
  <c r="M70" i="8"/>
  <c r="M69" i="8"/>
  <c r="M68" i="8"/>
  <c r="M67" i="8"/>
  <c r="M66" i="8"/>
  <c r="M65" i="8"/>
  <c r="M64" i="8"/>
  <c r="M63" i="8"/>
  <c r="M62" i="8"/>
  <c r="M61" i="8"/>
  <c r="M56" i="8"/>
  <c r="M92" i="8"/>
  <c r="M91" i="8"/>
  <c r="M90" i="8"/>
  <c r="M89" i="8"/>
  <c r="M87" i="8"/>
  <c r="M85" i="8"/>
  <c r="M80" i="8"/>
  <c r="M42" i="8"/>
  <c r="M41" i="8"/>
  <c r="M40" i="8"/>
  <c r="M39" i="8"/>
  <c r="M35" i="8"/>
  <c r="M33" i="8"/>
  <c r="M25" i="8"/>
  <c r="M24" i="8"/>
  <c r="O25" i="8"/>
  <c r="O33" i="8"/>
  <c r="O35" i="8"/>
  <c r="O39" i="8"/>
  <c r="O40" i="8"/>
  <c r="O41" i="8"/>
  <c r="O42" i="8"/>
  <c r="O80" i="8"/>
  <c r="O85" i="8"/>
  <c r="O87" i="8"/>
  <c r="O89" i="8"/>
  <c r="O90" i="8"/>
  <c r="O91" i="8"/>
  <c r="O92" i="8"/>
  <c r="O56" i="8"/>
  <c r="O61" i="8"/>
  <c r="O62" i="8"/>
  <c r="O63" i="8"/>
  <c r="O64" i="8"/>
  <c r="O65" i="8"/>
  <c r="O66" i="8"/>
  <c r="O67" i="8"/>
  <c r="O68" i="8"/>
  <c r="O69" i="8"/>
  <c r="O70" i="8"/>
  <c r="O81" i="8"/>
  <c r="O82" i="8"/>
  <c r="O83" i="8"/>
  <c r="O84" i="8"/>
  <c r="O86" i="8"/>
  <c r="O88" i="8"/>
  <c r="O93" i="8"/>
  <c r="O94" i="8"/>
  <c r="O46" i="8"/>
  <c r="O57" i="8"/>
  <c r="O58" i="8"/>
  <c r="O59" i="8"/>
  <c r="O60" i="8"/>
  <c r="O4" i="8"/>
  <c r="O5" i="8"/>
  <c r="O6" i="8"/>
  <c r="O7" i="8"/>
  <c r="O8" i="8"/>
  <c r="O26" i="8"/>
  <c r="O27" i="8"/>
  <c r="O28" i="8"/>
  <c r="O29" i="8"/>
  <c r="O30" i="8"/>
  <c r="O31" i="8"/>
  <c r="O32" i="8"/>
  <c r="O34" i="8"/>
  <c r="O36" i="8"/>
  <c r="O37" i="8"/>
  <c r="O38" i="8"/>
  <c r="O43" i="8"/>
  <c r="O44" i="8"/>
  <c r="O45" i="8"/>
  <c r="O47" i="8"/>
  <c r="O71" i="8"/>
  <c r="O48" i="8"/>
  <c r="O72" i="8"/>
  <c r="O73" i="8"/>
  <c r="O49" i="8"/>
  <c r="O74" i="8"/>
  <c r="O50" i="8"/>
  <c r="O75" i="8"/>
  <c r="O51" i="8"/>
  <c r="O76" i="8"/>
  <c r="O52" i="8"/>
  <c r="O77" i="8"/>
  <c r="O53" i="8"/>
  <c r="O15" i="8"/>
  <c r="O20" i="8"/>
  <c r="O16" i="8"/>
  <c r="O17" i="8"/>
  <c r="O78" i="8"/>
  <c r="O54" i="8"/>
  <c r="O14" i="8"/>
  <c r="O13" i="8"/>
  <c r="O79" i="8"/>
  <c r="O55" i="8"/>
  <c r="O9" i="8"/>
  <c r="O19" i="8"/>
  <c r="O12" i="8"/>
  <c r="O18" i="8"/>
  <c r="O11" i="8"/>
  <c r="O21" i="8"/>
  <c r="O10" i="8"/>
  <c r="O22" i="8"/>
  <c r="O23" i="8"/>
  <c r="E45" i="7"/>
  <c r="E44" i="7"/>
  <c r="E43" i="7"/>
  <c r="M11" i="7"/>
  <c r="M10" i="7"/>
  <c r="M8" i="7"/>
  <c r="M6" i="7"/>
  <c r="M22" i="7"/>
  <c r="M21" i="7"/>
  <c r="M20" i="7"/>
  <c r="M19" i="7"/>
  <c r="M16" i="7"/>
  <c r="M32" i="7"/>
  <c r="M31" i="7"/>
  <c r="M30" i="7"/>
  <c r="M29" i="7"/>
  <c r="M27" i="7"/>
  <c r="M25" i="7"/>
  <c r="M18" i="7"/>
  <c r="M17" i="7"/>
  <c r="M15" i="7"/>
  <c r="M14" i="7"/>
  <c r="M28" i="7"/>
  <c r="M26" i="7"/>
  <c r="M24" i="7"/>
  <c r="M23" i="7"/>
  <c r="M9" i="7"/>
  <c r="M7" i="7"/>
  <c r="M5" i="7"/>
  <c r="M4" i="7"/>
  <c r="K84" i="6"/>
  <c r="K85" i="6"/>
  <c r="K83" i="6"/>
  <c r="K86" i="6"/>
  <c r="E83" i="6"/>
  <c r="E77" i="6"/>
  <c r="E78" i="6"/>
  <c r="E79" i="6"/>
  <c r="E85" i="6"/>
  <c r="E84" i="6"/>
  <c r="M37" i="6"/>
  <c r="M38" i="6"/>
  <c r="M39" i="6"/>
  <c r="M40" i="6"/>
  <c r="M41" i="6"/>
  <c r="M42" i="6"/>
  <c r="M43" i="6"/>
  <c r="M44" i="6"/>
  <c r="M45" i="6"/>
  <c r="M47" i="6"/>
  <c r="M49" i="6"/>
  <c r="M50" i="6"/>
  <c r="M69" i="6"/>
  <c r="M71" i="6"/>
  <c r="M48" i="6"/>
  <c r="M23" i="6"/>
  <c r="M25" i="6"/>
  <c r="M28" i="6"/>
  <c r="M36" i="6"/>
  <c r="M35" i="6"/>
  <c r="M34" i="6"/>
  <c r="M33" i="6"/>
  <c r="M32" i="6"/>
  <c r="M31" i="6"/>
  <c r="M30" i="6"/>
  <c r="M29" i="6"/>
  <c r="M73" i="6"/>
  <c r="M72" i="6"/>
  <c r="M70" i="6"/>
  <c r="M68" i="6"/>
  <c r="M67" i="6"/>
  <c r="M66" i="6"/>
  <c r="M65" i="6"/>
  <c r="M64" i="6"/>
  <c r="M63" i="6"/>
  <c r="M62" i="6"/>
  <c r="M61" i="6"/>
  <c r="M60" i="6"/>
  <c r="M59" i="6"/>
  <c r="M58" i="6"/>
  <c r="M57" i="6"/>
  <c r="M56" i="6"/>
  <c r="M55" i="6"/>
  <c r="M54" i="6"/>
  <c r="M53" i="6"/>
  <c r="M52" i="6"/>
  <c r="M51" i="6"/>
  <c r="M27" i="6"/>
  <c r="M26" i="6"/>
  <c r="M24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K66" i="4"/>
  <c r="K64" i="4"/>
  <c r="K63" i="4"/>
  <c r="E65" i="4"/>
  <c r="E64" i="4"/>
  <c r="M32" i="4"/>
  <c r="M31" i="4"/>
  <c r="M28" i="4"/>
  <c r="M49" i="4"/>
  <c r="M48" i="4"/>
  <c r="M43" i="4"/>
  <c r="M42" i="4"/>
  <c r="M41" i="4"/>
  <c r="M33" i="4"/>
  <c r="M24" i="4"/>
  <c r="M26" i="4"/>
  <c r="M20" i="4"/>
  <c r="M23" i="4"/>
  <c r="M21" i="4"/>
  <c r="M17" i="4"/>
  <c r="M19" i="4"/>
  <c r="M16" i="4"/>
  <c r="M22" i="4"/>
  <c r="M25" i="4"/>
  <c r="M52" i="4"/>
  <c r="M18" i="4"/>
  <c r="M53" i="4"/>
  <c r="M51" i="4"/>
  <c r="M50" i="4"/>
  <c r="M40" i="4"/>
  <c r="M39" i="4"/>
  <c r="M38" i="4"/>
  <c r="M37" i="4"/>
  <c r="M36" i="4"/>
  <c r="M35" i="4"/>
  <c r="M34" i="4"/>
  <c r="M30" i="4"/>
  <c r="M29" i="4"/>
  <c r="M27" i="4"/>
  <c r="M15" i="4"/>
  <c r="M14" i="4"/>
  <c r="M13" i="4"/>
  <c r="M12" i="4"/>
  <c r="M11" i="4"/>
  <c r="M10" i="4"/>
  <c r="M9" i="4"/>
  <c r="M8" i="4"/>
  <c r="M7" i="4"/>
  <c r="M6" i="4"/>
  <c r="M5" i="4"/>
  <c r="M4" i="4"/>
  <c r="M47" i="4"/>
  <c r="M46" i="4"/>
  <c r="M45" i="4"/>
  <c r="G28" i="13" l="1"/>
  <c r="G25" i="9"/>
  <c r="J25" i="9" s="1"/>
  <c r="G107" i="8"/>
  <c r="H107" i="8" s="1"/>
  <c r="G22" i="11"/>
  <c r="G22" i="10"/>
  <c r="G85" i="6"/>
  <c r="J85" i="6" s="1"/>
  <c r="G84" i="6"/>
  <c r="N64" i="6" s="1"/>
  <c r="G66" i="4"/>
  <c r="J66" i="4" s="1"/>
  <c r="G105" i="8"/>
  <c r="G104" i="8"/>
  <c r="N39" i="8" s="1"/>
  <c r="G106" i="8"/>
  <c r="N59" i="8" s="1"/>
  <c r="G46" i="7"/>
  <c r="J46" i="7" s="1"/>
  <c r="G83" i="6"/>
  <c r="G86" i="6"/>
  <c r="J86" i="6" s="1"/>
  <c r="G64" i="4"/>
  <c r="N50" i="8" l="1"/>
  <c r="J22" i="11"/>
  <c r="I25" i="9"/>
  <c r="H25" i="9"/>
  <c r="N53" i="8"/>
  <c r="N78" i="8"/>
  <c r="N72" i="8"/>
  <c r="N86" i="8"/>
  <c r="N67" i="8"/>
  <c r="N45" i="8"/>
  <c r="N6" i="8"/>
  <c r="N69" i="8"/>
  <c r="N8" i="8"/>
  <c r="N16" i="8"/>
  <c r="N81" i="8"/>
  <c r="N93" i="8"/>
  <c r="J104" i="8"/>
  <c r="N31" i="8"/>
  <c r="N41" i="8"/>
  <c r="N29" i="8"/>
  <c r="N84" i="8"/>
  <c r="N71" i="8"/>
  <c r="N33" i="8"/>
  <c r="N91" i="8"/>
  <c r="N38" i="8"/>
  <c r="N33" i="6"/>
  <c r="N50" i="6"/>
  <c r="N43" i="6"/>
  <c r="N28" i="6"/>
  <c r="N49" i="6"/>
  <c r="I85" i="6"/>
  <c r="N38" i="6"/>
  <c r="N25" i="6"/>
  <c r="N47" i="6"/>
  <c r="H85" i="6"/>
  <c r="N30" i="6"/>
  <c r="N32" i="6"/>
  <c r="N35" i="6"/>
  <c r="N37" i="6"/>
  <c r="N39" i="6"/>
  <c r="N42" i="6"/>
  <c r="N31" i="6"/>
  <c r="N34" i="6"/>
  <c r="N29" i="6"/>
  <c r="N36" i="6"/>
  <c r="N41" i="6"/>
  <c r="N44" i="6"/>
  <c r="N27" i="6"/>
  <c r="N46" i="6"/>
  <c r="N45" i="6"/>
  <c r="N40" i="6"/>
  <c r="I86" i="6"/>
  <c r="N51" i="6"/>
  <c r="N65" i="6"/>
  <c r="N56" i="6"/>
  <c r="N70" i="6"/>
  <c r="N68" i="6"/>
  <c r="N61" i="6"/>
  <c r="N73" i="6"/>
  <c r="N53" i="6"/>
  <c r="N63" i="6"/>
  <c r="N60" i="6"/>
  <c r="N55" i="6"/>
  <c r="N48" i="6"/>
  <c r="I84" i="6"/>
  <c r="N67" i="6"/>
  <c r="N72" i="6"/>
  <c r="N59" i="6"/>
  <c r="N62" i="6"/>
  <c r="N54" i="6"/>
  <c r="N66" i="6"/>
  <c r="H84" i="6"/>
  <c r="N23" i="6"/>
  <c r="N58" i="6"/>
  <c r="N52" i="6"/>
  <c r="J84" i="6"/>
  <c r="N57" i="6"/>
  <c r="N26" i="6"/>
  <c r="N4" i="6"/>
  <c r="N19" i="6"/>
  <c r="N8" i="6"/>
  <c r="J83" i="6"/>
  <c r="N10" i="6"/>
  <c r="N16" i="6"/>
  <c r="N6" i="6"/>
  <c r="N21" i="6"/>
  <c r="N15" i="6"/>
  <c r="H83" i="6"/>
  <c r="N22" i="6"/>
  <c r="N24" i="6"/>
  <c r="N20" i="6"/>
  <c r="N12" i="6"/>
  <c r="H66" i="4"/>
  <c r="I66" i="4"/>
  <c r="J64" i="4"/>
  <c r="I64" i="4"/>
  <c r="H64" i="4"/>
  <c r="N66" i="8"/>
  <c r="N36" i="8"/>
  <c r="N65" i="8"/>
  <c r="N43" i="8"/>
  <c r="N55" i="8"/>
  <c r="N68" i="8"/>
  <c r="N90" i="8"/>
  <c r="N15" i="8"/>
  <c r="N56" i="8"/>
  <c r="N19" i="8"/>
  <c r="N40" i="8"/>
  <c r="N94" i="8"/>
  <c r="N22" i="8"/>
  <c r="N26" i="8"/>
  <c r="N28" i="8"/>
  <c r="N74" i="8"/>
  <c r="N64" i="8"/>
  <c r="N10" i="8"/>
  <c r="N88" i="8"/>
  <c r="N11" i="8"/>
  <c r="N23" i="8"/>
  <c r="N70" i="8"/>
  <c r="N12" i="8"/>
  <c r="N17" i="8"/>
  <c r="N57" i="8"/>
  <c r="N27" i="8"/>
  <c r="N76" i="8"/>
  <c r="N13" i="8"/>
  <c r="N44" i="8"/>
  <c r="N37" i="8"/>
  <c r="N75" i="8"/>
  <c r="N25" i="8"/>
  <c r="N24" i="8"/>
  <c r="N54" i="8"/>
  <c r="N80" i="8"/>
  <c r="N51" i="8"/>
  <c r="N52" i="8"/>
  <c r="N18" i="8"/>
  <c r="N89" i="8"/>
  <c r="N21" i="8"/>
  <c r="H106" i="8"/>
  <c r="N47" i="8"/>
  <c r="N85" i="8"/>
  <c r="N87" i="8"/>
  <c r="N32" i="8"/>
  <c r="N4" i="8"/>
  <c r="N82" i="8"/>
  <c r="N73" i="8"/>
  <c r="N63" i="8"/>
  <c r="N5" i="8"/>
  <c r="N61" i="8"/>
  <c r="J105" i="8"/>
  <c r="N46" i="8"/>
  <c r="N20" i="8"/>
  <c r="N14" i="8"/>
  <c r="N7" i="8"/>
  <c r="N77" i="8"/>
  <c r="N49" i="8"/>
  <c r="N34" i="8"/>
  <c r="N60" i="8"/>
  <c r="N83" i="8"/>
  <c r="N9" i="8"/>
  <c r="N79" i="8"/>
  <c r="N62" i="8"/>
  <c r="N35" i="8"/>
  <c r="N92" i="8"/>
  <c r="N48" i="8"/>
  <c r="N42" i="8"/>
  <c r="N58" i="8"/>
  <c r="N30" i="8"/>
  <c r="H104" i="8"/>
  <c r="J106" i="8"/>
  <c r="H105" i="8"/>
  <c r="I105" i="8"/>
  <c r="I106" i="8"/>
  <c r="I104" i="8"/>
  <c r="I107" i="8"/>
  <c r="J107" i="8"/>
  <c r="I46" i="7"/>
  <c r="H46" i="7"/>
  <c r="N17" i="6"/>
  <c r="N11" i="6"/>
  <c r="N13" i="6"/>
  <c r="N7" i="6"/>
  <c r="N9" i="6"/>
  <c r="I83" i="6"/>
  <c r="N5" i="6"/>
  <c r="N71" i="6"/>
  <c r="N14" i="6"/>
  <c r="N69" i="6"/>
  <c r="N18" i="6"/>
  <c r="H86" i="6"/>
  <c r="H22" i="11" l="1"/>
  <c r="I22" i="11"/>
  <c r="H28" i="13" l="1"/>
  <c r="J28" i="13"/>
  <c r="I28" i="13"/>
  <c r="E18" i="13" l="1"/>
  <c r="K21" i="14" l="1"/>
  <c r="M4" i="14"/>
  <c r="E100" i="8"/>
  <c r="I21" i="14" l="1"/>
  <c r="J21" i="14"/>
  <c r="M9" i="14"/>
  <c r="J9" i="14"/>
  <c r="L22" i="14" s="1"/>
  <c r="M6" i="14"/>
  <c r="J6" i="14"/>
  <c r="J11" i="13"/>
  <c r="K11" i="13" s="1"/>
  <c r="E20" i="13"/>
  <c r="E19" i="13"/>
  <c r="E99" i="8"/>
  <c r="J23" i="8"/>
  <c r="K23" i="8" s="1"/>
  <c r="G45" i="7" l="1"/>
  <c r="K25" i="13"/>
  <c r="G26" i="13"/>
  <c r="K27" i="13"/>
  <c r="K26" i="13"/>
  <c r="G27" i="13"/>
  <c r="G25" i="13"/>
  <c r="G43" i="7"/>
  <c r="G44" i="7"/>
  <c r="K6" i="14"/>
  <c r="H15" i="14" s="1"/>
  <c r="L15" i="14"/>
  <c r="K9" i="14"/>
  <c r="L20" i="14"/>
  <c r="J22" i="8"/>
  <c r="K22" i="8" s="1"/>
  <c r="J10" i="8"/>
  <c r="K10" i="8" s="1"/>
  <c r="J21" i="8"/>
  <c r="K21" i="8" s="1"/>
  <c r="J11" i="8"/>
  <c r="K11" i="8" s="1"/>
  <c r="J18" i="8"/>
  <c r="K18" i="8" s="1"/>
  <c r="J12" i="8"/>
  <c r="K12" i="8" s="1"/>
  <c r="J19" i="8"/>
  <c r="K19" i="8" s="1"/>
  <c r="J9" i="8"/>
  <c r="K9" i="8" s="1"/>
  <c r="J55" i="8"/>
  <c r="K55" i="8" s="1"/>
  <c r="J79" i="8"/>
  <c r="K79" i="8" s="1"/>
  <c r="J13" i="8"/>
  <c r="K13" i="8" s="1"/>
  <c r="J14" i="8"/>
  <c r="K14" i="8" s="1"/>
  <c r="J54" i="8"/>
  <c r="K54" i="8" s="1"/>
  <c r="J78" i="8"/>
  <c r="K78" i="8" s="1"/>
  <c r="J17" i="8"/>
  <c r="K17" i="8" s="1"/>
  <c r="J16" i="8"/>
  <c r="K16" i="8" s="1"/>
  <c r="J20" i="8"/>
  <c r="K20" i="8" s="1"/>
  <c r="J15" i="8"/>
  <c r="K15" i="8" s="1"/>
  <c r="J53" i="8"/>
  <c r="K53" i="8" s="1"/>
  <c r="J77" i="8"/>
  <c r="K77" i="8" s="1"/>
  <c r="J52" i="8"/>
  <c r="K52" i="8" s="1"/>
  <c r="J76" i="8"/>
  <c r="K76" i="8" s="1"/>
  <c r="J51" i="8"/>
  <c r="K51" i="8" s="1"/>
  <c r="J75" i="8"/>
  <c r="K75" i="8" s="1"/>
  <c r="J50" i="8"/>
  <c r="K50" i="8" s="1"/>
  <c r="J74" i="8"/>
  <c r="K74" i="8" s="1"/>
  <c r="J49" i="8"/>
  <c r="K49" i="8" s="1"/>
  <c r="J73" i="8"/>
  <c r="K73" i="8" s="1"/>
  <c r="J72" i="8"/>
  <c r="K72" i="8" s="1"/>
  <c r="J48" i="8"/>
  <c r="K48" i="8" s="1"/>
  <c r="J71" i="8"/>
  <c r="K71" i="8" s="1"/>
  <c r="J47" i="8"/>
  <c r="K47" i="8" s="1"/>
  <c r="J45" i="8"/>
  <c r="K10" i="13"/>
  <c r="J13" i="13"/>
  <c r="K13" i="13" s="1"/>
  <c r="J6" i="13"/>
  <c r="H11" i="12"/>
  <c r="F11" i="12"/>
  <c r="F10" i="12"/>
  <c r="F9" i="12"/>
  <c r="O4" i="11"/>
  <c r="E15" i="11"/>
  <c r="E14" i="11"/>
  <c r="E13" i="11"/>
  <c r="E18" i="9"/>
  <c r="E17" i="9"/>
  <c r="E16" i="9"/>
  <c r="E15" i="10"/>
  <c r="E14" i="10"/>
  <c r="E13" i="10"/>
  <c r="O17" i="4"/>
  <c r="O44" i="4"/>
  <c r="K59" i="4"/>
  <c r="G59" i="4"/>
  <c r="E59" i="4"/>
  <c r="I20" i="14" l="1"/>
  <c r="K24" i="9"/>
  <c r="G23" i="9"/>
  <c r="G22" i="9"/>
  <c r="K22" i="9"/>
  <c r="G24" i="9"/>
  <c r="K23" i="9"/>
  <c r="N12" i="7"/>
  <c r="N13" i="7"/>
  <c r="J27" i="13"/>
  <c r="H27" i="13"/>
  <c r="I27" i="13"/>
  <c r="N5" i="13"/>
  <c r="N10" i="13"/>
  <c r="N14" i="13"/>
  <c r="N12" i="13"/>
  <c r="J25" i="13"/>
  <c r="N8" i="13"/>
  <c r="H25" i="13"/>
  <c r="N6" i="13"/>
  <c r="I25" i="13"/>
  <c r="N4" i="13"/>
  <c r="J26" i="13"/>
  <c r="I26" i="13"/>
  <c r="N11" i="13"/>
  <c r="N9" i="13"/>
  <c r="H26" i="13"/>
  <c r="N13" i="13"/>
  <c r="N7" i="13"/>
  <c r="K21" i="11"/>
  <c r="K20" i="11"/>
  <c r="K19" i="11"/>
  <c r="G19" i="11"/>
  <c r="G20" i="11"/>
  <c r="G21" i="11"/>
  <c r="K19" i="10"/>
  <c r="K20" i="10"/>
  <c r="K21" i="10"/>
  <c r="G20" i="10"/>
  <c r="G21" i="10"/>
  <c r="G19" i="10"/>
  <c r="H44" i="7"/>
  <c r="N26" i="7"/>
  <c r="N24" i="7"/>
  <c r="N21" i="7"/>
  <c r="N32" i="7"/>
  <c r="N19" i="7"/>
  <c r="N23" i="7"/>
  <c r="N20" i="7"/>
  <c r="N31" i="7"/>
  <c r="N16" i="7"/>
  <c r="J44" i="7"/>
  <c r="I44" i="7"/>
  <c r="N5" i="7"/>
  <c r="N9" i="7"/>
  <c r="N27" i="7"/>
  <c r="N30" i="7"/>
  <c r="N18" i="7"/>
  <c r="N4" i="7"/>
  <c r="N7" i="7"/>
  <c r="N25" i="7"/>
  <c r="N17" i="7"/>
  <c r="H43" i="7"/>
  <c r="N29" i="7"/>
  <c r="J43" i="7"/>
  <c r="I43" i="7"/>
  <c r="N8" i="7"/>
  <c r="N11" i="7"/>
  <c r="N28" i="7"/>
  <c r="N15" i="7"/>
  <c r="N6" i="7"/>
  <c r="N22" i="7"/>
  <c r="N10" i="7"/>
  <c r="N14" i="7"/>
  <c r="J45" i="7"/>
  <c r="H45" i="7"/>
  <c r="I45" i="7"/>
  <c r="K6" i="13"/>
  <c r="K45" i="8"/>
  <c r="J4" i="13"/>
  <c r="J5" i="13"/>
  <c r="J23" i="9" l="1"/>
  <c r="H23" i="9"/>
  <c r="N11" i="9"/>
  <c r="N10" i="9"/>
  <c r="I23" i="9"/>
  <c r="N12" i="9"/>
  <c r="H24" i="9"/>
  <c r="I24" i="9"/>
  <c r="N9" i="9"/>
  <c r="J24" i="9"/>
  <c r="N8" i="9"/>
  <c r="N7" i="9"/>
  <c r="I22" i="9"/>
  <c r="N6" i="9"/>
  <c r="N4" i="9"/>
  <c r="H22" i="9"/>
  <c r="N5" i="9"/>
  <c r="J22" i="9"/>
  <c r="J20" i="11"/>
  <c r="H20" i="11"/>
  <c r="I20" i="11"/>
  <c r="N8" i="11"/>
  <c r="N9" i="11"/>
  <c r="N4" i="11"/>
  <c r="J19" i="11"/>
  <c r="N5" i="11"/>
  <c r="I19" i="11"/>
  <c r="H19" i="11"/>
  <c r="H21" i="11"/>
  <c r="J21" i="11"/>
  <c r="I21" i="11"/>
  <c r="N7" i="11"/>
  <c r="N6" i="11"/>
  <c r="H19" i="10"/>
  <c r="I19" i="10"/>
  <c r="N8" i="10"/>
  <c r="J19" i="10"/>
  <c r="N5" i="10"/>
  <c r="H21" i="10"/>
  <c r="J21" i="10"/>
  <c r="I21" i="10"/>
  <c r="N4" i="10"/>
  <c r="N7" i="10"/>
  <c r="H20" i="10"/>
  <c r="N9" i="10"/>
  <c r="N6" i="10"/>
  <c r="J20" i="10"/>
  <c r="I20" i="10"/>
  <c r="K4" i="13"/>
  <c r="K5" i="13"/>
  <c r="J28" i="4"/>
  <c r="K28" i="4" s="1"/>
  <c r="J4" i="9" l="1"/>
  <c r="I11" i="12" l="1"/>
  <c r="J9" i="13"/>
  <c r="J12" i="13"/>
  <c r="J7" i="13"/>
  <c r="K7" i="13" s="1"/>
  <c r="G18" i="13" s="1"/>
  <c r="J8" i="13"/>
  <c r="J14" i="13"/>
  <c r="J5" i="14"/>
  <c r="L14" i="14" s="1"/>
  <c r="M5" i="14"/>
  <c r="O6" i="9"/>
  <c r="O12" i="9"/>
  <c r="O9" i="9"/>
  <c r="J6" i="9"/>
  <c r="K6" i="9" s="1"/>
  <c r="J12" i="9"/>
  <c r="K12" i="9" s="1"/>
  <c r="J9" i="9"/>
  <c r="K9" i="9" s="1"/>
  <c r="J60" i="8"/>
  <c r="K60" i="8" s="1"/>
  <c r="J4" i="8"/>
  <c r="K4" i="8" s="1"/>
  <c r="J91" i="8"/>
  <c r="K91" i="8" s="1"/>
  <c r="K20" i="13" l="1"/>
  <c r="K21" i="13"/>
  <c r="K22" i="13"/>
  <c r="K9" i="13"/>
  <c r="K18" i="13"/>
  <c r="K19" i="13"/>
  <c r="K14" i="13"/>
  <c r="K5" i="14"/>
  <c r="I15" i="14"/>
  <c r="J11" i="12"/>
  <c r="K11" i="12"/>
  <c r="M4" i="15"/>
  <c r="J4" i="15"/>
  <c r="J4" i="14"/>
  <c r="K12" i="13"/>
  <c r="K8" i="13"/>
  <c r="J4" i="12"/>
  <c r="O7" i="11"/>
  <c r="J7" i="11"/>
  <c r="K7" i="11" s="1"/>
  <c r="O9" i="11"/>
  <c r="J9" i="11"/>
  <c r="K9" i="11" s="1"/>
  <c r="O5" i="11"/>
  <c r="J5" i="11"/>
  <c r="K5" i="11" s="1"/>
  <c r="O6" i="11"/>
  <c r="J6" i="11"/>
  <c r="O8" i="11"/>
  <c r="J8" i="11"/>
  <c r="J4" i="11"/>
  <c r="J7" i="10"/>
  <c r="J4" i="10"/>
  <c r="K4" i="10" s="1"/>
  <c r="J6" i="10"/>
  <c r="K6" i="10" s="1"/>
  <c r="J9" i="10"/>
  <c r="J8" i="10"/>
  <c r="J5" i="10"/>
  <c r="O8" i="9"/>
  <c r="J8" i="9"/>
  <c r="K8" i="9" s="1"/>
  <c r="O11" i="9"/>
  <c r="J11" i="9"/>
  <c r="K11" i="9" s="1"/>
  <c r="O5" i="9"/>
  <c r="J5" i="9"/>
  <c r="O7" i="9"/>
  <c r="J7" i="9"/>
  <c r="O10" i="9"/>
  <c r="J10" i="9"/>
  <c r="O4" i="9"/>
  <c r="J59" i="8"/>
  <c r="K59" i="8" s="1"/>
  <c r="J58" i="8"/>
  <c r="K58" i="8" s="1"/>
  <c r="J57" i="8"/>
  <c r="K57" i="8" s="1"/>
  <c r="J46" i="8"/>
  <c r="K46" i="8" s="1"/>
  <c r="J94" i="8"/>
  <c r="K94" i="8" s="1"/>
  <c r="J93" i="8"/>
  <c r="K93" i="8" s="1"/>
  <c r="J88" i="8"/>
  <c r="K88" i="8" s="1"/>
  <c r="J86" i="8"/>
  <c r="K86" i="8" s="1"/>
  <c r="J84" i="8"/>
  <c r="K84" i="8" s="1"/>
  <c r="J83" i="8"/>
  <c r="K83" i="8" s="1"/>
  <c r="J82" i="8"/>
  <c r="K82" i="8" s="1"/>
  <c r="J81" i="8"/>
  <c r="K81" i="8" s="1"/>
  <c r="J70" i="8"/>
  <c r="K70" i="8" s="1"/>
  <c r="J69" i="8"/>
  <c r="K69" i="8" s="1"/>
  <c r="J68" i="8"/>
  <c r="K68" i="8" s="1"/>
  <c r="J67" i="8"/>
  <c r="J66" i="8"/>
  <c r="K66" i="8" s="1"/>
  <c r="J44" i="8"/>
  <c r="K44" i="8" s="1"/>
  <c r="J65" i="8"/>
  <c r="K65" i="8" s="1"/>
  <c r="J64" i="8"/>
  <c r="K64" i="8" s="1"/>
  <c r="J43" i="8"/>
  <c r="K43" i="8" s="1"/>
  <c r="J63" i="8"/>
  <c r="K63" i="8" s="1"/>
  <c r="J38" i="8"/>
  <c r="K38" i="8" s="1"/>
  <c r="J62" i="8"/>
  <c r="K62" i="8" s="1"/>
  <c r="J61" i="8"/>
  <c r="K61" i="8" s="1"/>
  <c r="J37" i="8"/>
  <c r="K37" i="8" s="1"/>
  <c r="J56" i="8"/>
  <c r="J36" i="8"/>
  <c r="K36" i="8" s="1"/>
  <c r="J92" i="8"/>
  <c r="K92" i="8" s="1"/>
  <c r="J34" i="8"/>
  <c r="K34" i="8" s="1"/>
  <c r="J90" i="8"/>
  <c r="K90" i="8" s="1"/>
  <c r="J32" i="8"/>
  <c r="K32" i="8" s="1"/>
  <c r="J89" i="8"/>
  <c r="K89" i="8" s="1"/>
  <c r="J31" i="8"/>
  <c r="K31" i="8" s="1"/>
  <c r="J87" i="8"/>
  <c r="K87" i="8" s="1"/>
  <c r="J30" i="8"/>
  <c r="K30" i="8" s="1"/>
  <c r="J85" i="8"/>
  <c r="K85" i="8" s="1"/>
  <c r="J29" i="8"/>
  <c r="K29" i="8" s="1"/>
  <c r="J80" i="8"/>
  <c r="J28" i="8"/>
  <c r="K28" i="8" s="1"/>
  <c r="J42" i="8"/>
  <c r="K42" i="8" s="1"/>
  <c r="J41" i="8"/>
  <c r="K41" i="8" s="1"/>
  <c r="J40" i="8"/>
  <c r="K40" i="8" s="1"/>
  <c r="J27" i="8"/>
  <c r="K27" i="8" s="1"/>
  <c r="J39" i="8"/>
  <c r="K39" i="8" s="1"/>
  <c r="J26" i="8"/>
  <c r="K26" i="8" s="1"/>
  <c r="J8" i="8"/>
  <c r="K8" i="8" s="1"/>
  <c r="J35" i="8"/>
  <c r="K35" i="8" s="1"/>
  <c r="J7" i="8"/>
  <c r="K7" i="8" s="1"/>
  <c r="J33" i="8"/>
  <c r="K33" i="8" s="1"/>
  <c r="J6" i="8"/>
  <c r="K6" i="8" s="1"/>
  <c r="J25" i="8"/>
  <c r="K25" i="8" s="1"/>
  <c r="J5" i="8"/>
  <c r="J24" i="8"/>
  <c r="O12" i="4"/>
  <c r="O13" i="4"/>
  <c r="O15" i="4"/>
  <c r="O27" i="4"/>
  <c r="O29" i="4"/>
  <c r="O30" i="4"/>
  <c r="O34" i="4"/>
  <c r="O35" i="4"/>
  <c r="O36" i="4"/>
  <c r="O37" i="4"/>
  <c r="O38" i="4"/>
  <c r="O39" i="4"/>
  <c r="O40" i="4"/>
  <c r="J12" i="4"/>
  <c r="K12" i="4" s="1"/>
  <c r="J13" i="4"/>
  <c r="K13" i="4" s="1"/>
  <c r="J15" i="4"/>
  <c r="K15" i="4" s="1"/>
  <c r="J27" i="4"/>
  <c r="K27" i="4" s="1"/>
  <c r="J29" i="4"/>
  <c r="K29" i="4" s="1"/>
  <c r="J30" i="4"/>
  <c r="K30" i="4" s="1"/>
  <c r="J34" i="4"/>
  <c r="K34" i="4" s="1"/>
  <c r="J35" i="4"/>
  <c r="K35" i="4" s="1"/>
  <c r="J36" i="4"/>
  <c r="K36" i="4" s="1"/>
  <c r="J37" i="4"/>
  <c r="K37" i="4" s="1"/>
  <c r="J38" i="4"/>
  <c r="K38" i="4" s="1"/>
  <c r="J39" i="4"/>
  <c r="K39" i="4" s="1"/>
  <c r="J40" i="4"/>
  <c r="O21" i="7"/>
  <c r="J21" i="7"/>
  <c r="K21" i="7" s="1"/>
  <c r="O18" i="7"/>
  <c r="J18" i="7"/>
  <c r="K18" i="7" s="1"/>
  <c r="O20" i="7"/>
  <c r="J20" i="7"/>
  <c r="K20" i="7" s="1"/>
  <c r="O17" i="7"/>
  <c r="J17" i="7"/>
  <c r="O19" i="7"/>
  <c r="J19" i="7"/>
  <c r="K19" i="7" s="1"/>
  <c r="O15" i="7"/>
  <c r="J15" i="7"/>
  <c r="K15" i="7" s="1"/>
  <c r="O11" i="7"/>
  <c r="J11" i="7"/>
  <c r="K11" i="7" s="1"/>
  <c r="O16" i="7"/>
  <c r="J16" i="7"/>
  <c r="K16" i="7" s="1"/>
  <c r="O32" i="7"/>
  <c r="J32" i="7"/>
  <c r="K32" i="7" s="1"/>
  <c r="O14" i="7"/>
  <c r="J14" i="7"/>
  <c r="O28" i="7"/>
  <c r="J28" i="7"/>
  <c r="O26" i="7"/>
  <c r="J26" i="7"/>
  <c r="K26" i="7" s="1"/>
  <c r="O31" i="7"/>
  <c r="J31" i="7"/>
  <c r="K31" i="7" s="1"/>
  <c r="O24" i="7"/>
  <c r="J24" i="7"/>
  <c r="K24" i="7" s="1"/>
  <c r="O10" i="7"/>
  <c r="J10" i="7"/>
  <c r="K10" i="7" s="1"/>
  <c r="O30" i="7"/>
  <c r="J30" i="7"/>
  <c r="K30" i="7" s="1"/>
  <c r="O23" i="7"/>
  <c r="J23" i="7"/>
  <c r="K38" i="7" s="1"/>
  <c r="O8" i="7"/>
  <c r="J8" i="7"/>
  <c r="K8" i="7" s="1"/>
  <c r="O29" i="7"/>
  <c r="J29" i="7"/>
  <c r="K29" i="7" s="1"/>
  <c r="O9" i="7"/>
  <c r="J9" i="7"/>
  <c r="K9" i="7" s="1"/>
  <c r="O7" i="7"/>
  <c r="J7" i="7"/>
  <c r="K7" i="7" s="1"/>
  <c r="O6" i="7"/>
  <c r="J6" i="7"/>
  <c r="K6" i="7" s="1"/>
  <c r="O27" i="7"/>
  <c r="J27" i="7"/>
  <c r="K27" i="7" s="1"/>
  <c r="O5" i="7"/>
  <c r="J5" i="7"/>
  <c r="K5" i="7" s="1"/>
  <c r="O22" i="7"/>
  <c r="J22" i="7"/>
  <c r="O25" i="7"/>
  <c r="J25" i="7"/>
  <c r="O4" i="7"/>
  <c r="J4" i="7"/>
  <c r="O56" i="6"/>
  <c r="J56" i="6"/>
  <c r="K56" i="6" s="1"/>
  <c r="O55" i="6"/>
  <c r="J55" i="6"/>
  <c r="K55" i="6" s="1"/>
  <c r="O39" i="6"/>
  <c r="J39" i="6"/>
  <c r="K39" i="6" s="1"/>
  <c r="O54" i="6"/>
  <c r="J54" i="6"/>
  <c r="K54" i="6" s="1"/>
  <c r="O38" i="6"/>
  <c r="J38" i="6"/>
  <c r="K38" i="6" s="1"/>
  <c r="O53" i="6"/>
  <c r="J53" i="6"/>
  <c r="K53" i="6" s="1"/>
  <c r="O37" i="6"/>
  <c r="J37" i="6"/>
  <c r="K37" i="6" s="1"/>
  <c r="O36" i="6"/>
  <c r="J36" i="6"/>
  <c r="K36" i="6" s="1"/>
  <c r="O52" i="6"/>
  <c r="J52" i="6"/>
  <c r="K52" i="6" s="1"/>
  <c r="O51" i="6"/>
  <c r="J51" i="6"/>
  <c r="O35" i="6"/>
  <c r="J35" i="6"/>
  <c r="K35" i="6" s="1"/>
  <c r="O27" i="6"/>
  <c r="J27" i="6"/>
  <c r="K27" i="6" s="1"/>
  <c r="O34" i="6"/>
  <c r="J34" i="6"/>
  <c r="K34" i="6" s="1"/>
  <c r="O26" i="6"/>
  <c r="J26" i="6"/>
  <c r="K26" i="6" s="1"/>
  <c r="O33" i="6"/>
  <c r="J33" i="6"/>
  <c r="K33" i="6" s="1"/>
  <c r="O24" i="6"/>
  <c r="J24" i="6"/>
  <c r="K24" i="6" s="1"/>
  <c r="O32" i="6"/>
  <c r="J32" i="6"/>
  <c r="K32" i="6" s="1"/>
  <c r="O22" i="6"/>
  <c r="J22" i="6"/>
  <c r="K22" i="6" s="1"/>
  <c r="O28" i="6"/>
  <c r="J28" i="6"/>
  <c r="K28" i="6" s="1"/>
  <c r="O31" i="6"/>
  <c r="J31" i="6"/>
  <c r="K31" i="6" s="1"/>
  <c r="O21" i="6"/>
  <c r="J21" i="6"/>
  <c r="K21" i="6" s="1"/>
  <c r="O30" i="6"/>
  <c r="J30" i="6"/>
  <c r="K30" i="6" s="1"/>
  <c r="O20" i="6"/>
  <c r="J20" i="6"/>
  <c r="K20" i="6" s="1"/>
  <c r="O25" i="6"/>
  <c r="J25" i="6"/>
  <c r="K25" i="6" s="1"/>
  <c r="O29" i="6"/>
  <c r="J29" i="6"/>
  <c r="O19" i="6"/>
  <c r="J19" i="6"/>
  <c r="K19" i="6" s="1"/>
  <c r="O73" i="6"/>
  <c r="J73" i="6"/>
  <c r="K73" i="6" s="1"/>
  <c r="O18" i="6"/>
  <c r="J18" i="6"/>
  <c r="K18" i="6" s="1"/>
  <c r="O23" i="6"/>
  <c r="J23" i="6"/>
  <c r="K23" i="6" s="1"/>
  <c r="O72" i="6"/>
  <c r="J72" i="6"/>
  <c r="K72" i="6" s="1"/>
  <c r="O17" i="6"/>
  <c r="J17" i="6"/>
  <c r="K17" i="6" s="1"/>
  <c r="O48" i="6"/>
  <c r="J48" i="6"/>
  <c r="K48" i="6" s="1"/>
  <c r="O70" i="6"/>
  <c r="J70" i="6"/>
  <c r="K70" i="6" s="1"/>
  <c r="O16" i="6"/>
  <c r="J16" i="6"/>
  <c r="K16" i="6" s="1"/>
  <c r="O68" i="6"/>
  <c r="J68" i="6"/>
  <c r="K68" i="6" s="1"/>
  <c r="O15" i="6"/>
  <c r="J15" i="6"/>
  <c r="K15" i="6" s="1"/>
  <c r="O71" i="6"/>
  <c r="J71" i="6"/>
  <c r="K71" i="6" s="1"/>
  <c r="O67" i="6"/>
  <c r="J67" i="6"/>
  <c r="K67" i="6" s="1"/>
  <c r="O14" i="6"/>
  <c r="J14" i="6"/>
  <c r="K14" i="6" s="1"/>
  <c r="O69" i="6"/>
  <c r="J69" i="6"/>
  <c r="O66" i="6"/>
  <c r="J66" i="6"/>
  <c r="K66" i="6" s="1"/>
  <c r="O13" i="6"/>
  <c r="J13" i="6"/>
  <c r="K13" i="6" s="1"/>
  <c r="O50" i="6"/>
  <c r="J50" i="6"/>
  <c r="K50" i="6" s="1"/>
  <c r="O65" i="6"/>
  <c r="J65" i="6"/>
  <c r="K65" i="6" s="1"/>
  <c r="O12" i="6"/>
  <c r="J12" i="6"/>
  <c r="K12" i="6" s="1"/>
  <c r="O49" i="6"/>
  <c r="J49" i="6"/>
  <c r="K49" i="6" s="1"/>
  <c r="O64" i="6"/>
  <c r="J64" i="6"/>
  <c r="K64" i="6" s="1"/>
  <c r="O11" i="6"/>
  <c r="J11" i="6"/>
  <c r="K11" i="6" s="1"/>
  <c r="O47" i="6"/>
  <c r="J47" i="6"/>
  <c r="K47" i="6" s="1"/>
  <c r="O63" i="6"/>
  <c r="J63" i="6"/>
  <c r="K63" i="6" s="1"/>
  <c r="O10" i="6"/>
  <c r="J10" i="6"/>
  <c r="K10" i="6" s="1"/>
  <c r="O45" i="6"/>
  <c r="J45" i="6"/>
  <c r="K45" i="6" s="1"/>
  <c r="O44" i="6"/>
  <c r="J44" i="6"/>
  <c r="K44" i="6" s="1"/>
  <c r="O62" i="6"/>
  <c r="J62" i="6"/>
  <c r="K62" i="6" s="1"/>
  <c r="O61" i="6"/>
  <c r="J61" i="6"/>
  <c r="K61" i="6" s="1"/>
  <c r="O9" i="6"/>
  <c r="J9" i="6"/>
  <c r="K9" i="6" s="1"/>
  <c r="O8" i="6"/>
  <c r="J8" i="6"/>
  <c r="K8" i="6" s="1"/>
  <c r="O43" i="6"/>
  <c r="J43" i="6"/>
  <c r="K43" i="6" s="1"/>
  <c r="O60" i="6"/>
  <c r="J60" i="6"/>
  <c r="K60" i="6" s="1"/>
  <c r="O7" i="6"/>
  <c r="J7" i="6"/>
  <c r="K7" i="6" s="1"/>
  <c r="O42" i="6"/>
  <c r="J42" i="6"/>
  <c r="K42" i="6" s="1"/>
  <c r="O59" i="6"/>
  <c r="J59" i="6"/>
  <c r="K59" i="6" s="1"/>
  <c r="O6" i="6"/>
  <c r="J6" i="6"/>
  <c r="K6" i="6" s="1"/>
  <c r="O41" i="6"/>
  <c r="J41" i="6"/>
  <c r="K41" i="6" s="1"/>
  <c r="O58" i="6"/>
  <c r="J58" i="6"/>
  <c r="K58" i="6" s="1"/>
  <c r="O5" i="6"/>
  <c r="J5" i="6"/>
  <c r="K5" i="6" s="1"/>
  <c r="O40" i="6"/>
  <c r="J40" i="6"/>
  <c r="O57" i="6"/>
  <c r="J57" i="6"/>
  <c r="O4" i="6"/>
  <c r="J4" i="6"/>
  <c r="O45" i="4"/>
  <c r="O46" i="4"/>
  <c r="O47" i="4"/>
  <c r="O4" i="4"/>
  <c r="O5" i="4"/>
  <c r="O6" i="4"/>
  <c r="O7" i="4"/>
  <c r="O8" i="4"/>
  <c r="O9" i="4"/>
  <c r="O10" i="4"/>
  <c r="O11" i="4"/>
  <c r="O14" i="4"/>
  <c r="O50" i="4"/>
  <c r="O51" i="4"/>
  <c r="O53" i="4"/>
  <c r="O18" i="4"/>
  <c r="O52" i="4"/>
  <c r="O25" i="4"/>
  <c r="O22" i="4"/>
  <c r="O16" i="4"/>
  <c r="O19" i="4"/>
  <c r="O21" i="4"/>
  <c r="O23" i="4"/>
  <c r="O20" i="4"/>
  <c r="O26" i="4"/>
  <c r="O24" i="4"/>
  <c r="O33" i="4"/>
  <c r="O41" i="4"/>
  <c r="O42" i="4"/>
  <c r="O43" i="4"/>
  <c r="O48" i="4"/>
  <c r="O49" i="4"/>
  <c r="O28" i="4"/>
  <c r="O31" i="4"/>
  <c r="O32" i="4"/>
  <c r="J45" i="4"/>
  <c r="K45" i="4" s="1"/>
  <c r="J46" i="4"/>
  <c r="K46" i="4" s="1"/>
  <c r="J47" i="4"/>
  <c r="K47" i="4" s="1"/>
  <c r="J4" i="4"/>
  <c r="K4" i="4" s="1"/>
  <c r="J5" i="4"/>
  <c r="K5" i="4" s="1"/>
  <c r="J6" i="4"/>
  <c r="K6" i="4" s="1"/>
  <c r="J7" i="4"/>
  <c r="K7" i="4" s="1"/>
  <c r="J8" i="4"/>
  <c r="K8" i="4" s="1"/>
  <c r="J9" i="4"/>
  <c r="K9" i="4" s="1"/>
  <c r="J10" i="4"/>
  <c r="K10" i="4" s="1"/>
  <c r="J11" i="4"/>
  <c r="K11" i="4" s="1"/>
  <c r="J14" i="4"/>
  <c r="K14" i="4" s="1"/>
  <c r="J50" i="4"/>
  <c r="K50" i="4" s="1"/>
  <c r="J51" i="4"/>
  <c r="J53" i="4"/>
  <c r="J18" i="4"/>
  <c r="K18" i="4" s="1"/>
  <c r="J52" i="4"/>
  <c r="K52" i="4" s="1"/>
  <c r="J25" i="4"/>
  <c r="J22" i="4"/>
  <c r="K22" i="4" s="1"/>
  <c r="J16" i="4"/>
  <c r="K16" i="4" s="1"/>
  <c r="J19" i="4"/>
  <c r="K19" i="4" s="1"/>
  <c r="J17" i="4"/>
  <c r="J21" i="4"/>
  <c r="K21" i="4" s="1"/>
  <c r="J23" i="4"/>
  <c r="K23" i="4" s="1"/>
  <c r="J20" i="4"/>
  <c r="K20" i="4" s="1"/>
  <c r="J26" i="4"/>
  <c r="K26" i="4" s="1"/>
  <c r="J24" i="4"/>
  <c r="K24" i="4" s="1"/>
  <c r="J33" i="4"/>
  <c r="J41" i="4"/>
  <c r="K41" i="4" s="1"/>
  <c r="J42" i="4"/>
  <c r="K42" i="4" s="1"/>
  <c r="J43" i="4"/>
  <c r="K43" i="4" s="1"/>
  <c r="J48" i="4"/>
  <c r="K48" i="4" s="1"/>
  <c r="J49" i="4"/>
  <c r="K49" i="4" s="1"/>
  <c r="J31" i="4"/>
  <c r="K31" i="4" s="1"/>
  <c r="J32" i="4"/>
  <c r="K32" i="4" s="1"/>
  <c r="J44" i="4"/>
  <c r="G21" i="13" l="1"/>
  <c r="J21" i="13" s="1"/>
  <c r="H21" i="13"/>
  <c r="I21" i="13"/>
  <c r="K40" i="7"/>
  <c r="K37" i="7"/>
  <c r="K14" i="7"/>
  <c r="K39" i="7"/>
  <c r="K58" i="4"/>
  <c r="K53" i="4"/>
  <c r="G58" i="4" s="1"/>
  <c r="K60" i="4"/>
  <c r="K57" i="4"/>
  <c r="L9" i="12"/>
  <c r="K18" i="9"/>
  <c r="K17" i="9"/>
  <c r="K79" i="6"/>
  <c r="K78" i="6"/>
  <c r="K80" i="6"/>
  <c r="K77" i="6"/>
  <c r="K13" i="10"/>
  <c r="K4" i="15"/>
  <c r="L16" i="14"/>
  <c r="L13" i="14"/>
  <c r="K67" i="8"/>
  <c r="K17" i="7"/>
  <c r="K69" i="6"/>
  <c r="H14" i="14"/>
  <c r="K25" i="4"/>
  <c r="K40" i="4"/>
  <c r="K17" i="4"/>
  <c r="K33" i="4"/>
  <c r="K20" i="14"/>
  <c r="J20" i="14"/>
  <c r="K5" i="9"/>
  <c r="K16" i="9"/>
  <c r="G19" i="13"/>
  <c r="G20" i="13"/>
  <c r="K99" i="8"/>
  <c r="K100" i="8"/>
  <c r="K24" i="8"/>
  <c r="K98" i="8"/>
  <c r="K101" i="8"/>
  <c r="K80" i="8"/>
  <c r="K56" i="8"/>
  <c r="G100" i="8" s="1"/>
  <c r="K23" i="7"/>
  <c r="K28" i="7"/>
  <c r="K13" i="11"/>
  <c r="K15" i="11"/>
  <c r="K14" i="11"/>
  <c r="K9" i="10"/>
  <c r="K14" i="10"/>
  <c r="K7" i="10"/>
  <c r="K15" i="10"/>
  <c r="K51" i="6"/>
  <c r="K29" i="6"/>
  <c r="K51" i="4"/>
  <c r="K15" i="14"/>
  <c r="J15" i="14"/>
  <c r="K7" i="9"/>
  <c r="K10" i="9"/>
  <c r="K4" i="9"/>
  <c r="K19" i="9"/>
  <c r="K4" i="14"/>
  <c r="K4" i="12"/>
  <c r="L12" i="12"/>
  <c r="K6" i="11"/>
  <c r="K4" i="11"/>
  <c r="K16" i="11"/>
  <c r="K8" i="11"/>
  <c r="K5" i="10"/>
  <c r="K8" i="10"/>
  <c r="K16" i="10"/>
  <c r="K25" i="7"/>
  <c r="K4" i="7"/>
  <c r="G37" i="7" s="1"/>
  <c r="K22" i="7"/>
  <c r="K5" i="8"/>
  <c r="K4" i="6"/>
  <c r="K40" i="6"/>
  <c r="K57" i="6"/>
  <c r="K44" i="4"/>
  <c r="H37" i="7" l="1"/>
  <c r="L12" i="7"/>
  <c r="L13" i="7"/>
  <c r="G39" i="7"/>
  <c r="H39" i="7" s="1"/>
  <c r="G38" i="7"/>
  <c r="H38" i="7" s="1"/>
  <c r="G57" i="4"/>
  <c r="L24" i="4" s="1"/>
  <c r="K14" i="14"/>
  <c r="L6" i="14"/>
  <c r="H9" i="12"/>
  <c r="J9" i="12" s="1"/>
  <c r="H10" i="12"/>
  <c r="G77" i="6"/>
  <c r="L14" i="13"/>
  <c r="L10" i="13"/>
  <c r="G79" i="6"/>
  <c r="G78" i="6"/>
  <c r="I14" i="14"/>
  <c r="H13" i="14"/>
  <c r="J14" i="14"/>
  <c r="G14" i="10"/>
  <c r="G15" i="10"/>
  <c r="G18" i="9"/>
  <c r="G17" i="9"/>
  <c r="G16" i="9"/>
  <c r="H20" i="13"/>
  <c r="J20" i="13"/>
  <c r="L8" i="13"/>
  <c r="L12" i="13"/>
  <c r="H19" i="13"/>
  <c r="J19" i="13"/>
  <c r="L5" i="13"/>
  <c r="I20" i="13"/>
  <c r="I19" i="13"/>
  <c r="L6" i="13"/>
  <c r="L4" i="13"/>
  <c r="L11" i="13"/>
  <c r="L13" i="13"/>
  <c r="L9" i="13"/>
  <c r="L7" i="13"/>
  <c r="G99" i="8"/>
  <c r="G98" i="8"/>
  <c r="H100" i="8"/>
  <c r="G13" i="11"/>
  <c r="G15" i="11"/>
  <c r="L6" i="11" s="1"/>
  <c r="G14" i="11"/>
  <c r="L8" i="11" s="1"/>
  <c r="G13" i="10"/>
  <c r="H18" i="13"/>
  <c r="I18" i="13"/>
  <c r="J18" i="13"/>
  <c r="L4" i="14" l="1"/>
  <c r="K9" i="12"/>
  <c r="I9" i="12"/>
  <c r="L4" i="10"/>
  <c r="L28" i="6"/>
  <c r="L5" i="14"/>
  <c r="K10" i="12"/>
  <c r="J10" i="12"/>
  <c r="I10" i="12"/>
  <c r="L6" i="10"/>
  <c r="K25" i="9"/>
  <c r="L51" i="4"/>
  <c r="L44" i="4"/>
  <c r="I77" i="6"/>
  <c r="L46" i="6"/>
  <c r="J77" i="6"/>
  <c r="L4" i="6"/>
  <c r="H77" i="6"/>
  <c r="L4" i="11"/>
  <c r="K22" i="11"/>
  <c r="L8" i="10"/>
  <c r="L4" i="9"/>
  <c r="L10" i="9"/>
  <c r="L25" i="7"/>
  <c r="H78" i="6"/>
  <c r="J78" i="6"/>
  <c r="I78" i="6"/>
  <c r="J79" i="6"/>
  <c r="I79" i="6"/>
  <c r="H79" i="6"/>
  <c r="K13" i="14"/>
  <c r="J13" i="14"/>
  <c r="I13" i="14"/>
  <c r="K22" i="14"/>
  <c r="I22" i="14"/>
  <c r="J22" i="14"/>
  <c r="H14" i="11"/>
  <c r="I14" i="11"/>
  <c r="J14" i="11"/>
  <c r="I15" i="11"/>
  <c r="H15" i="10"/>
  <c r="J15" i="10"/>
  <c r="H14" i="10"/>
  <c r="L7" i="10"/>
  <c r="I15" i="10"/>
  <c r="L5" i="10"/>
  <c r="J14" i="10"/>
  <c r="I14" i="10"/>
  <c r="L9" i="10"/>
  <c r="H17" i="9"/>
  <c r="J17" i="9"/>
  <c r="I16" i="9"/>
  <c r="L6" i="9"/>
  <c r="L5" i="9"/>
  <c r="H16" i="9"/>
  <c r="J16" i="9"/>
  <c r="L9" i="9"/>
  <c r="L8" i="9"/>
  <c r="L12" i="9"/>
  <c r="L11" i="9"/>
  <c r="H18" i="9"/>
  <c r="I18" i="9"/>
  <c r="I17" i="9"/>
  <c r="J18" i="9"/>
  <c r="L7" i="9"/>
  <c r="L31" i="7"/>
  <c r="L20" i="7"/>
  <c r="L16" i="7"/>
  <c r="L19" i="7"/>
  <c r="L24" i="7"/>
  <c r="L21" i="7"/>
  <c r="L26" i="7"/>
  <c r="L32" i="7"/>
  <c r="I38" i="7"/>
  <c r="I37" i="7"/>
  <c r="L5" i="7"/>
  <c r="L18" i="7"/>
  <c r="L27" i="7"/>
  <c r="L29" i="7"/>
  <c r="L9" i="7"/>
  <c r="L7" i="7"/>
  <c r="L30" i="7"/>
  <c r="L17" i="7"/>
  <c r="L4" i="7"/>
  <c r="L10" i="7"/>
  <c r="L14" i="7"/>
  <c r="L15" i="7"/>
  <c r="L11" i="7"/>
  <c r="L8" i="7"/>
  <c r="L6" i="7"/>
  <c r="L22" i="7"/>
  <c r="L23" i="7"/>
  <c r="J38" i="7"/>
  <c r="L28" i="7"/>
  <c r="H99" i="8"/>
  <c r="L34" i="8"/>
  <c r="I99" i="8"/>
  <c r="L27" i="8"/>
  <c r="L91" i="8"/>
  <c r="L87" i="8"/>
  <c r="L7" i="8"/>
  <c r="L80" i="8"/>
  <c r="L92" i="8"/>
  <c r="L32" i="8"/>
  <c r="L90" i="8"/>
  <c r="J99" i="8"/>
  <c r="L89" i="8"/>
  <c r="L8" i="8"/>
  <c r="L5" i="8"/>
  <c r="L29" i="8"/>
  <c r="L30" i="8"/>
  <c r="L17" i="8"/>
  <c r="L77" i="8"/>
  <c r="L20" i="8"/>
  <c r="L13" i="8"/>
  <c r="L85" i="8"/>
  <c r="L31" i="8"/>
  <c r="L14" i="8"/>
  <c r="L6" i="8"/>
  <c r="L26" i="8"/>
  <c r="L54" i="8"/>
  <c r="L16" i="8"/>
  <c r="L15" i="8"/>
  <c r="L78" i="8"/>
  <c r="L53" i="8"/>
  <c r="L28" i="8"/>
  <c r="L23" i="8"/>
  <c r="L24" i="8"/>
  <c r="L56" i="8"/>
  <c r="L19" i="8"/>
  <c r="L22" i="8"/>
  <c r="L21" i="8"/>
  <c r="L12" i="8"/>
  <c r="L10" i="8"/>
  <c r="L79" i="8"/>
  <c r="L55" i="8"/>
  <c r="L18" i="8"/>
  <c r="L11" i="8"/>
  <c r="L9" i="8"/>
  <c r="L52" i="8"/>
  <c r="L72" i="8"/>
  <c r="L51" i="8"/>
  <c r="L71" i="8"/>
  <c r="L48" i="8"/>
  <c r="L74" i="8"/>
  <c r="L73" i="8"/>
  <c r="L47" i="8"/>
  <c r="L76" i="8"/>
  <c r="L45" i="8"/>
  <c r="L75" i="8"/>
  <c r="L50" i="8"/>
  <c r="L49" i="8"/>
  <c r="I100" i="8"/>
  <c r="J100" i="8"/>
  <c r="H98" i="8"/>
  <c r="J98" i="8"/>
  <c r="I98" i="8"/>
  <c r="L43" i="8"/>
  <c r="L44" i="8"/>
  <c r="L38" i="8"/>
  <c r="L65" i="8"/>
  <c r="L66" i="8"/>
  <c r="L36" i="8"/>
  <c r="L62" i="8"/>
  <c r="L61" i="8"/>
  <c r="L63" i="8"/>
  <c r="L64" i="8"/>
  <c r="L37" i="8"/>
  <c r="L4" i="8"/>
  <c r="L60" i="8"/>
  <c r="L39" i="8"/>
  <c r="L81" i="8"/>
  <c r="L94" i="8"/>
  <c r="L84" i="8"/>
  <c r="L69" i="8"/>
  <c r="L40" i="8"/>
  <c r="L41" i="8"/>
  <c r="L70" i="8"/>
  <c r="L86" i="8"/>
  <c r="L25" i="8"/>
  <c r="L46" i="8"/>
  <c r="L83" i="8"/>
  <c r="L93" i="8"/>
  <c r="L33" i="8"/>
  <c r="L35" i="8"/>
  <c r="L42" i="8"/>
  <c r="L68" i="8"/>
  <c r="L58" i="8"/>
  <c r="L82" i="8"/>
  <c r="L67" i="8"/>
  <c r="L57" i="8"/>
  <c r="L88" i="8"/>
  <c r="L59" i="8"/>
  <c r="J37" i="7"/>
  <c r="I39" i="7"/>
  <c r="J39" i="7"/>
  <c r="L52" i="4"/>
  <c r="L4" i="4"/>
  <c r="L40" i="4"/>
  <c r="L16" i="4"/>
  <c r="L39" i="4"/>
  <c r="L46" i="4"/>
  <c r="L36" i="4"/>
  <c r="L27" i="4"/>
  <c r="L35" i="4"/>
  <c r="L18" i="4"/>
  <c r="L37" i="4"/>
  <c r="L13" i="4"/>
  <c r="L12" i="4"/>
  <c r="L20" i="4"/>
  <c r="L29" i="4"/>
  <c r="L6" i="4"/>
  <c r="L30" i="4"/>
  <c r="L10" i="4"/>
  <c r="L21" i="4"/>
  <c r="L47" i="4"/>
  <c r="L50" i="4"/>
  <c r="L45" i="4"/>
  <c r="L14" i="4"/>
  <c r="L17" i="4"/>
  <c r="L5" i="4"/>
  <c r="L34" i="4"/>
  <c r="L23" i="4"/>
  <c r="L25" i="4"/>
  <c r="L9" i="4"/>
  <c r="L26" i="4"/>
  <c r="L8" i="4"/>
  <c r="L53" i="4"/>
  <c r="L11" i="4"/>
  <c r="L38" i="4"/>
  <c r="L19" i="4"/>
  <c r="L15" i="4"/>
  <c r="L22" i="4"/>
  <c r="L7" i="4"/>
  <c r="H13" i="11"/>
  <c r="L9" i="11"/>
  <c r="I13" i="11"/>
  <c r="H15" i="11"/>
  <c r="J13" i="11"/>
  <c r="L7" i="11"/>
  <c r="J15" i="11"/>
  <c r="L5" i="11"/>
  <c r="L27" i="6"/>
  <c r="L8" i="6"/>
  <c r="L16" i="6"/>
  <c r="L9" i="6"/>
  <c r="L6" i="6"/>
  <c r="L18" i="6"/>
  <c r="L10" i="6"/>
  <c r="L20" i="6"/>
  <c r="L24" i="6"/>
  <c r="L19" i="6"/>
  <c r="L11" i="6"/>
  <c r="L21" i="6"/>
  <c r="L17" i="6"/>
  <c r="L69" i="6"/>
  <c r="L15" i="6"/>
  <c r="L12" i="6"/>
  <c r="L14" i="6"/>
  <c r="L71" i="6"/>
  <c r="L7" i="6"/>
  <c r="L5" i="6"/>
  <c r="L13" i="6"/>
  <c r="L26" i="6"/>
  <c r="L22" i="6"/>
  <c r="L64" i="6"/>
  <c r="L58" i="6"/>
  <c r="L48" i="6"/>
  <c r="L67" i="6"/>
  <c r="L55" i="6"/>
  <c r="L54" i="6"/>
  <c r="L63" i="6"/>
  <c r="L56" i="6"/>
  <c r="L53" i="6"/>
  <c r="L66" i="6"/>
  <c r="L60" i="6"/>
  <c r="L59" i="6"/>
  <c r="L70" i="6"/>
  <c r="L23" i="6"/>
  <c r="L68" i="6"/>
  <c r="L72" i="6"/>
  <c r="L65" i="6"/>
  <c r="L61" i="6"/>
  <c r="L73" i="6"/>
  <c r="L52" i="6"/>
  <c r="L62" i="6"/>
  <c r="L44" i="6"/>
  <c r="L25" i="6"/>
  <c r="L37" i="6"/>
  <c r="L45" i="6"/>
  <c r="L39" i="6"/>
  <c r="L38" i="6"/>
  <c r="L36" i="6"/>
  <c r="L41" i="6"/>
  <c r="L47" i="6"/>
  <c r="L42" i="6"/>
  <c r="L30" i="6"/>
  <c r="L31" i="6"/>
  <c r="L35" i="6"/>
  <c r="L50" i="6"/>
  <c r="L49" i="6"/>
  <c r="L34" i="6"/>
  <c r="L33" i="6"/>
  <c r="L32" i="6"/>
  <c r="L43" i="6"/>
  <c r="L40" i="6"/>
  <c r="L51" i="6"/>
  <c r="L29" i="6"/>
  <c r="L57" i="6"/>
  <c r="I59" i="4"/>
  <c r="J59" i="4"/>
  <c r="H59" i="4"/>
  <c r="H57" i="4"/>
  <c r="I57" i="4"/>
  <c r="J57" i="4"/>
  <c r="L28" i="4"/>
  <c r="L33" i="4"/>
  <c r="L43" i="4"/>
  <c r="L32" i="4"/>
  <c r="L49" i="4"/>
  <c r="L31" i="4"/>
  <c r="L42" i="4"/>
  <c r="L48" i="4"/>
  <c r="L41" i="4"/>
  <c r="H58" i="4"/>
  <c r="I58" i="4"/>
  <c r="J58" i="4"/>
  <c r="I13" i="10" l="1"/>
  <c r="H13" i="10"/>
  <c r="J13" i="10"/>
  <c r="G63" i="4"/>
  <c r="N51" i="4" l="1"/>
  <c r="J63" i="4"/>
  <c r="I63" i="4"/>
  <c r="H63" i="4"/>
  <c r="N36" i="4"/>
  <c r="N53" i="4"/>
  <c r="N4" i="4"/>
  <c r="N20" i="4"/>
  <c r="N6" i="4"/>
  <c r="N23" i="4"/>
  <c r="N52" i="4"/>
  <c r="N14" i="4"/>
  <c r="N18" i="4"/>
  <c r="N13" i="4"/>
  <c r="N43" i="4"/>
  <c r="N12" i="4"/>
  <c r="N49" i="4"/>
  <c r="N37" i="4"/>
  <c r="N48" i="4"/>
  <c r="N5" i="4"/>
  <c r="N21" i="4"/>
  <c r="N35" i="4"/>
  <c r="N32" i="4"/>
  <c r="N7" i="4"/>
  <c r="N39" i="4"/>
  <c r="N46" i="4"/>
  <c r="N11" i="4"/>
  <c r="N38" i="4"/>
  <c r="N24" i="4"/>
  <c r="N30" i="4"/>
  <c r="N25" i="4"/>
  <c r="N31" i="4"/>
  <c r="N50" i="4"/>
  <c r="N26" i="4"/>
  <c r="N16" i="4"/>
  <c r="N19" i="4"/>
  <c r="N17" i="4"/>
  <c r="N9" i="4"/>
  <c r="N45" i="4"/>
  <c r="N8" i="4"/>
  <c r="N29" i="4"/>
  <c r="N27" i="4"/>
  <c r="N47" i="4"/>
  <c r="N15" i="4"/>
  <c r="N10" i="4"/>
  <c r="N34" i="4"/>
  <c r="N28" i="4"/>
  <c r="N41" i="4"/>
  <c r="N42" i="4"/>
  <c r="N40" i="4"/>
  <c r="N33" i="4"/>
  <c r="N44" i="4"/>
  <c r="N22" i="4"/>
  <c r="J22" i="10" l="1"/>
  <c r="H22" i="10" l="1"/>
  <c r="K22" i="10"/>
  <c r="I22" i="10"/>
</calcChain>
</file>

<file path=xl/sharedStrings.xml><?xml version="1.0" encoding="utf-8"?>
<sst xmlns="http://schemas.openxmlformats.org/spreadsheetml/2006/main" count="2706" uniqueCount="119">
  <si>
    <t>Type</t>
  </si>
  <si>
    <t>Day of Service</t>
  </si>
  <si>
    <t>Total Cost</t>
  </si>
  <si>
    <t>Passenger Trips</t>
  </si>
  <si>
    <t>Fare Revenue</t>
  </si>
  <si>
    <t>In-Service Hours</t>
  </si>
  <si>
    <t>Weekday</t>
  </si>
  <si>
    <t>Provider</t>
  </si>
  <si>
    <t>MVTA</t>
  </si>
  <si>
    <t>Maple Grove</t>
  </si>
  <si>
    <t>Saturday</t>
  </si>
  <si>
    <t>Sunday</t>
  </si>
  <si>
    <t>All Days</t>
  </si>
  <si>
    <t>Subsidy per Passenger</t>
  </si>
  <si>
    <t>Metro Vanpool</t>
  </si>
  <si>
    <t>Metro Mobility</t>
  </si>
  <si>
    <t>ADA Dial-a-Ride</t>
  </si>
  <si>
    <t>Core Local</t>
  </si>
  <si>
    <t>Supporting Local</t>
  </si>
  <si>
    <t>Suburban Local</t>
  </si>
  <si>
    <t>Blue Line</t>
  </si>
  <si>
    <t>Green Line</t>
  </si>
  <si>
    <t>Commuter Rail</t>
  </si>
  <si>
    <t>Comments</t>
  </si>
  <si>
    <t>Total Subsidy</t>
  </si>
  <si>
    <t>Pass per In-Service Hr</t>
  </si>
  <si>
    <t>SW Prime</t>
  </si>
  <si>
    <t>Weekdays</t>
  </si>
  <si>
    <t>SW Transit</t>
  </si>
  <si>
    <t>Cost per in-service hour</t>
  </si>
  <si>
    <t>Connect</t>
  </si>
  <si>
    <t>Table 1</t>
  </si>
  <si>
    <t>Fare Revenues</t>
  </si>
  <si>
    <t>Net Subsidy</t>
  </si>
  <si>
    <t>Total Passenger Trips</t>
  </si>
  <si>
    <t>Annual Hours</t>
  </si>
  <si>
    <t>Passengers per Hour</t>
  </si>
  <si>
    <t>Comment</t>
  </si>
  <si>
    <t>Route Level Subsidy per Pass</t>
  </si>
  <si>
    <t>Average</t>
  </si>
  <si>
    <t>Tier 1</t>
  </si>
  <si>
    <t>Tier 2</t>
  </si>
  <si>
    <t>Tier 3</t>
  </si>
  <si>
    <t>Table 2</t>
  </si>
  <si>
    <t>Table 3</t>
  </si>
  <si>
    <t>Table 4</t>
  </si>
  <si>
    <t>Table 5</t>
  </si>
  <si>
    <t>BRT - Arterial</t>
  </si>
  <si>
    <t>Table 6</t>
  </si>
  <si>
    <t>Table 7</t>
  </si>
  <si>
    <t>Table 8</t>
  </si>
  <si>
    <t>Table 9</t>
  </si>
  <si>
    <t>Table 10</t>
  </si>
  <si>
    <t>Table 11</t>
  </si>
  <si>
    <t>Vanpool</t>
  </si>
  <si>
    <t>Pass per IS Hour</t>
  </si>
  <si>
    <t>System Level Subsidy per Pass</t>
  </si>
  <si>
    <t>Count of Routes</t>
  </si>
  <si>
    <t>Annual In-Service Hours</t>
  </si>
  <si>
    <t>Saturdays</t>
  </si>
  <si>
    <t>Sundays</t>
  </si>
  <si>
    <t>Plymouth MetroLink</t>
  </si>
  <si>
    <t>Commuter/Express</t>
  </si>
  <si>
    <t xml:space="preserve">Subsidy compared to peer average </t>
  </si>
  <si>
    <t>Subsidy compared to peer average</t>
  </si>
  <si>
    <t>Route Number</t>
  </si>
  <si>
    <t>Route Name</t>
  </si>
  <si>
    <t>Orange Line</t>
  </si>
  <si>
    <t>Red Line</t>
  </si>
  <si>
    <t>2023 Highway Bus Rapid Transit</t>
  </si>
  <si>
    <t>A Line</t>
  </si>
  <si>
    <t>C Line</t>
  </si>
  <si>
    <t>D Line</t>
  </si>
  <si>
    <t>Annual Revenue Hours</t>
  </si>
  <si>
    <t xml:space="preserve">Route Name </t>
  </si>
  <si>
    <t>Service Period</t>
  </si>
  <si>
    <t>TransitLink</t>
  </si>
  <si>
    <t>Microtransit</t>
  </si>
  <si>
    <t>Click-and-Ride</t>
  </si>
  <si>
    <t xml:space="preserve">Route Number </t>
  </si>
  <si>
    <t>Suburb-to-Suburb</t>
  </si>
  <si>
    <t>Pass per IS Hour Guideline</t>
  </si>
  <si>
    <t>General Dial-a-Ride</t>
  </si>
  <si>
    <t>Farebox Recovery</t>
  </si>
  <si>
    <t>All Routes</t>
  </si>
  <si>
    <t>Annual 
In-Service Hours</t>
  </si>
  <si>
    <t>Farebox Recovery Ratio</t>
  </si>
  <si>
    <t>Subsidy Per Passenger Trip</t>
  </si>
  <si>
    <t>Farebox Recovery Compared to Peer Average</t>
  </si>
  <si>
    <t>All days</t>
  </si>
  <si>
    <t>2024 Commuter/Express Bus</t>
  </si>
  <si>
    <t>2024 Core Local Bus</t>
  </si>
  <si>
    <t>2024 Supporting Local Bus</t>
  </si>
  <si>
    <t>2024 Suburban Local Bus</t>
  </si>
  <si>
    <t>2024 Arterial Bus Rapid Transit</t>
  </si>
  <si>
    <t>2024 Light Rail</t>
  </si>
  <si>
    <t>2024 Commuter Rail</t>
  </si>
  <si>
    <t>2024 Microtransit</t>
  </si>
  <si>
    <t>2024 Dial-a-Ride (ADA &amp; General)</t>
  </si>
  <si>
    <t>2024 Vanpool</t>
  </si>
  <si>
    <t/>
  </si>
  <si>
    <t>Plymouth Metrolink</t>
  </si>
  <si>
    <t>System Farebox Recovery Ratio</t>
  </si>
  <si>
    <t>4FUN</t>
  </si>
  <si>
    <t>Orange LINK</t>
  </si>
  <si>
    <t>Southdale LINK</t>
  </si>
  <si>
    <t>BRT - Highway</t>
  </si>
  <si>
    <t>LRT</t>
  </si>
  <si>
    <t>NS Rail</t>
  </si>
  <si>
    <t>MyRide</t>
  </si>
  <si>
    <t>Metro Micro</t>
  </si>
  <si>
    <t>Seasonal route that runs 4 days per week (Thurs-Sun) from approximately March to October</t>
  </si>
  <si>
    <t>Route eliminated March 2024; end of grant funding</t>
  </si>
  <si>
    <t>State Fair</t>
  </si>
  <si>
    <t>Special/Event</t>
  </si>
  <si>
    <t>Other Special Events</t>
  </si>
  <si>
    <t>Saturday service started December 2024, still within 12-month startup period</t>
  </si>
  <si>
    <t>Met Council</t>
  </si>
  <si>
    <t>Zero fare pilot route required by legislature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</si>
</sst>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"/>
    <numFmt numFmtId="166" formatCode="&quot;$&quot;#,##0"/>
    <numFmt numFmtId="167" formatCode="0.0%"/>
    <numFmt numFmtId="168" formatCode="_(* #,##0_);_(* \(#,##0\);_(* &quot;-&quot;??_);_(@_)"/>
    <numFmt numFmtId="169" formatCode="_(&quot;$&quot;* #,##0_);_(&quot;$&quot;* \(#,##0\);_(&quot;$&quot;* &quot;-&quot;??_);_(@_)"/>
    <numFmt numFmtId="170" formatCode="_(* #,##0.0_);_(* \(#,##0.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9C0006"/>
      <name val="Calibri"/>
      <family val="2"/>
      <scheme val="minor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 Black"/>
      <family val="2"/>
    </font>
    <font>
      <sz val="11"/>
      <color theme="1"/>
      <name val="Arial Black"/>
      <family val="2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24"/>
      <color theme="0"/>
      <name val="Arial Black"/>
      <family val="2"/>
    </font>
    <font>
      <sz val="11"/>
      <name val="Calibri Light"/>
      <family val="2"/>
      <scheme val="major"/>
    </font>
    <font>
      <i/>
      <sz val="11"/>
      <color theme="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sz val="12"/>
      <name val="Calibri Light"/>
      <family val="2"/>
      <scheme val="major"/>
    </font>
    <font>
      <sz val="11"/>
      <name val="Arial Black"/>
      <family val="2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7CE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1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7" fillId="0" borderId="0"/>
    <xf numFmtId="0" fontId="24" fillId="0" borderId="0"/>
  </cellStyleXfs>
  <cellXfs count="358">
    <xf numFmtId="0" fontId="0" fillId="0" borderId="0" xfId="0"/>
    <xf numFmtId="168" fontId="0" fillId="0" borderId="0" xfId="4" applyNumberFormat="1" applyFont="1"/>
    <xf numFmtId="0" fontId="3" fillId="0" borderId="0" xfId="0" applyFont="1"/>
    <xf numFmtId="166" fontId="0" fillId="0" borderId="0" xfId="0" applyNumberFormat="1"/>
    <xf numFmtId="164" fontId="0" fillId="0" borderId="0" xfId="0" applyNumberFormat="1"/>
    <xf numFmtId="3" fontId="0" fillId="0" borderId="0" xfId="0" applyNumberFormat="1"/>
    <xf numFmtId="0" fontId="0" fillId="0" borderId="0" xfId="0" applyAlignment="1">
      <alignment wrapText="1"/>
    </xf>
    <xf numFmtId="167" fontId="0" fillId="0" borderId="0" xfId="5" applyNumberFormat="1" applyFont="1" applyBorder="1"/>
    <xf numFmtId="44" fontId="0" fillId="0" borderId="0" xfId="0" applyNumberFormat="1"/>
    <xf numFmtId="168" fontId="0" fillId="0" borderId="0" xfId="4" applyNumberFormat="1" applyFont="1" applyFill="1"/>
    <xf numFmtId="44" fontId="4" fillId="0" borderId="0" xfId="12" applyNumberFormat="1" applyFont="1" applyFill="1"/>
    <xf numFmtId="4" fontId="0" fillId="0" borderId="0" xfId="4" applyNumberFormat="1" applyFont="1" applyFill="1" applyBorder="1" applyAlignment="1"/>
    <xf numFmtId="0" fontId="0" fillId="0" borderId="0" xfId="0" applyAlignment="1">
      <alignment horizontal="center"/>
    </xf>
    <xf numFmtId="0" fontId="10" fillId="0" borderId="0" xfId="13" applyFont="1" applyAlignment="1">
      <alignment wrapText="1"/>
    </xf>
    <xf numFmtId="0" fontId="11" fillId="0" borderId="0" xfId="0" applyFont="1"/>
    <xf numFmtId="0" fontId="11" fillId="0" borderId="0" xfId="0" applyFont="1" applyAlignment="1">
      <alignment horizontal="center"/>
    </xf>
    <xf numFmtId="3" fontId="11" fillId="0" borderId="0" xfId="0" applyNumberFormat="1" applyFont="1"/>
    <xf numFmtId="0" fontId="11" fillId="0" borderId="0" xfId="0" applyFont="1" applyAlignment="1">
      <alignment wrapText="1"/>
    </xf>
    <xf numFmtId="0" fontId="9" fillId="0" borderId="0" xfId="0" applyFont="1"/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2" fillId="0" borderId="0" xfId="0" applyFont="1"/>
    <xf numFmtId="1" fontId="12" fillId="0" borderId="0" xfId="0" applyNumberFormat="1" applyFont="1"/>
    <xf numFmtId="166" fontId="12" fillId="0" borderId="0" xfId="0" applyNumberFormat="1" applyFont="1"/>
    <xf numFmtId="164" fontId="12" fillId="0" borderId="0" xfId="0" applyNumberFormat="1" applyFont="1"/>
    <xf numFmtId="167" fontId="12" fillId="0" borderId="0" xfId="5" applyNumberFormat="1" applyFont="1" applyFill="1" applyBorder="1" applyAlignment="1"/>
    <xf numFmtId="165" fontId="12" fillId="0" borderId="0" xfId="0" applyNumberFormat="1" applyFont="1"/>
    <xf numFmtId="3" fontId="12" fillId="0" borderId="0" xfId="4" applyNumberFormat="1" applyFont="1" applyFill="1" applyBorder="1" applyAlignment="1"/>
    <xf numFmtId="3" fontId="12" fillId="0" borderId="0" xfId="0" applyNumberFormat="1" applyFont="1"/>
    <xf numFmtId="8" fontId="12" fillId="0" borderId="0" xfId="0" applyNumberFormat="1" applyFont="1"/>
    <xf numFmtId="164" fontId="12" fillId="0" borderId="0" xfId="1" applyNumberFormat="1" applyFont="1" applyFill="1" applyBorder="1" applyAlignment="1"/>
    <xf numFmtId="168" fontId="12" fillId="0" borderId="0" xfId="4" applyNumberFormat="1" applyFont="1" applyFill="1" applyBorder="1" applyAlignment="1"/>
    <xf numFmtId="0" fontId="14" fillId="0" borderId="0" xfId="0" applyFont="1"/>
    <xf numFmtId="164" fontId="14" fillId="0" borderId="0" xfId="1" applyNumberFormat="1" applyFont="1" applyFill="1" applyBorder="1" applyAlignment="1"/>
    <xf numFmtId="3" fontId="14" fillId="0" borderId="0" xfId="4" applyNumberFormat="1" applyFont="1" applyFill="1" applyBorder="1" applyAlignment="1"/>
    <xf numFmtId="164" fontId="14" fillId="0" borderId="0" xfId="2" applyNumberFormat="1" applyFont="1" applyFill="1" applyBorder="1" applyAlignment="1"/>
    <xf numFmtId="3" fontId="12" fillId="0" borderId="0" xfId="4" applyNumberFormat="1" applyFont="1" applyFill="1" applyAlignment="1"/>
    <xf numFmtId="0" fontId="17" fillId="6" borderId="0" xfId="13" applyFont="1" applyFill="1" applyAlignment="1">
      <alignment horizontal="left"/>
    </xf>
    <xf numFmtId="38" fontId="16" fillId="4" borderId="4" xfId="0" applyNumberFormat="1" applyFont="1" applyFill="1" applyBorder="1" applyAlignment="1">
      <alignment horizontal="center" vertical="center" wrapText="1"/>
    </xf>
    <xf numFmtId="169" fontId="16" fillId="4" borderId="4" xfId="11" applyNumberFormat="1" applyFont="1" applyFill="1" applyBorder="1" applyAlignment="1">
      <alignment horizontal="center" vertical="center" wrapText="1"/>
    </xf>
    <xf numFmtId="168" fontId="16" fillId="4" borderId="4" xfId="4" applyNumberFormat="1" applyFont="1" applyFill="1" applyBorder="1" applyAlignment="1">
      <alignment horizontal="center" vertical="center" wrapText="1"/>
    </xf>
    <xf numFmtId="40" fontId="16" fillId="4" borderId="4" xfId="0" applyNumberFormat="1" applyFont="1" applyFill="1" applyBorder="1" applyAlignment="1">
      <alignment horizontal="center" vertical="center" wrapText="1"/>
    </xf>
    <xf numFmtId="9" fontId="16" fillId="4" borderId="4" xfId="5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6" fillId="4" borderId="3" xfId="0" applyFont="1" applyFill="1" applyBorder="1" applyAlignment="1">
      <alignment horizontal="center" vertical="center" wrapText="1"/>
    </xf>
    <xf numFmtId="1" fontId="16" fillId="4" borderId="4" xfId="0" applyNumberFormat="1" applyFont="1" applyFill="1" applyBorder="1" applyAlignment="1">
      <alignment horizontal="center" vertical="center" wrapText="1"/>
    </xf>
    <xf numFmtId="38" fontId="16" fillId="4" borderId="10" xfId="0" applyNumberFormat="1" applyFont="1" applyFill="1" applyBorder="1" applyAlignment="1">
      <alignment horizontal="center" vertical="center" wrapText="1"/>
    </xf>
    <xf numFmtId="167" fontId="12" fillId="0" borderId="0" xfId="5" applyNumberFormat="1" applyFont="1" applyBorder="1"/>
    <xf numFmtId="0" fontId="15" fillId="4" borderId="26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28" xfId="0" applyFont="1" applyBorder="1"/>
    <xf numFmtId="44" fontId="12" fillId="0" borderId="29" xfId="0" applyNumberFormat="1" applyFont="1" applyBorder="1"/>
    <xf numFmtId="44" fontId="12" fillId="2" borderId="29" xfId="0" applyNumberFormat="1" applyFont="1" applyFill="1" applyBorder="1"/>
    <xf numFmtId="44" fontId="12" fillId="5" borderId="29" xfId="0" applyNumberFormat="1" applyFont="1" applyFill="1" applyBorder="1"/>
    <xf numFmtId="44" fontId="18" fillId="3" borderId="30" xfId="12" applyNumberFormat="1" applyFont="1" applyBorder="1"/>
    <xf numFmtId="44" fontId="12" fillId="0" borderId="25" xfId="0" applyNumberFormat="1" applyFont="1" applyBorder="1"/>
    <xf numFmtId="0" fontId="12" fillId="0" borderId="2" xfId="0" applyFont="1" applyBorder="1"/>
    <xf numFmtId="44" fontId="12" fillId="0" borderId="0" xfId="0" applyNumberFormat="1" applyFont="1"/>
    <xf numFmtId="44" fontId="12" fillId="2" borderId="0" xfId="0" applyNumberFormat="1" applyFont="1" applyFill="1"/>
    <xf numFmtId="44" fontId="12" fillId="5" borderId="0" xfId="0" applyNumberFormat="1" applyFont="1" applyFill="1"/>
    <xf numFmtId="44" fontId="18" fillId="3" borderId="5" xfId="12" applyNumberFormat="1" applyFont="1" applyBorder="1"/>
    <xf numFmtId="0" fontId="12" fillId="0" borderId="9" xfId="0" applyFont="1" applyBorder="1" applyAlignment="1">
      <alignment horizontal="center"/>
    </xf>
    <xf numFmtId="0" fontId="12" fillId="0" borderId="33" xfId="0" applyFont="1" applyBorder="1"/>
    <xf numFmtId="44" fontId="12" fillId="0" borderId="1" xfId="0" applyNumberFormat="1" applyFont="1" applyBorder="1"/>
    <xf numFmtId="44" fontId="12" fillId="2" borderId="1" xfId="0" applyNumberFormat="1" applyFont="1" applyFill="1" applyBorder="1"/>
    <xf numFmtId="44" fontId="12" fillId="5" borderId="1" xfId="0" applyNumberFormat="1" applyFont="1" applyFill="1" applyBorder="1"/>
    <xf numFmtId="44" fontId="18" fillId="3" borderId="34" xfId="12" applyNumberFormat="1" applyFont="1" applyBorder="1"/>
    <xf numFmtId="0" fontId="12" fillId="0" borderId="23" xfId="0" applyFont="1" applyBorder="1"/>
    <xf numFmtId="0" fontId="12" fillId="0" borderId="21" xfId="0" applyFont="1" applyBorder="1" applyAlignment="1">
      <alignment horizontal="center"/>
    </xf>
    <xf numFmtId="0" fontId="12" fillId="6" borderId="21" xfId="0" applyFont="1" applyFill="1" applyBorder="1"/>
    <xf numFmtId="0" fontId="12" fillId="6" borderId="24" xfId="0" applyFont="1" applyFill="1" applyBorder="1"/>
    <xf numFmtId="44" fontId="12" fillId="0" borderId="31" xfId="0" applyNumberFormat="1" applyFont="1" applyBorder="1"/>
    <xf numFmtId="0" fontId="15" fillId="4" borderId="3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44" fontId="12" fillId="0" borderId="0" xfId="11" applyFont="1" applyBorder="1"/>
    <xf numFmtId="43" fontId="12" fillId="0" borderId="0" xfId="0" applyNumberFormat="1" applyFont="1"/>
    <xf numFmtId="167" fontId="12" fillId="0" borderId="0" xfId="5" applyNumberFormat="1" applyFont="1" applyFill="1" applyBorder="1"/>
    <xf numFmtId="164" fontId="12" fillId="0" borderId="0" xfId="11" applyNumberFormat="1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9" xfId="0" applyFont="1" applyBorder="1"/>
    <xf numFmtId="0" fontId="12" fillId="0" borderId="6" xfId="0" applyFont="1" applyBorder="1"/>
    <xf numFmtId="166" fontId="12" fillId="0" borderId="6" xfId="0" applyNumberFormat="1" applyFont="1" applyBorder="1"/>
    <xf numFmtId="164" fontId="12" fillId="0" borderId="6" xfId="0" applyNumberFormat="1" applyFont="1" applyBorder="1"/>
    <xf numFmtId="0" fontId="12" fillId="0" borderId="7" xfId="0" applyFont="1" applyBorder="1"/>
    <xf numFmtId="0" fontId="12" fillId="0" borderId="13" xfId="0" applyFont="1" applyBorder="1"/>
    <xf numFmtId="44" fontId="12" fillId="0" borderId="14" xfId="0" applyNumberFormat="1" applyFont="1" applyBorder="1"/>
    <xf numFmtId="44" fontId="12" fillId="2" borderId="14" xfId="0" applyNumberFormat="1" applyFont="1" applyFill="1" applyBorder="1"/>
    <xf numFmtId="44" fontId="12" fillId="5" borderId="14" xfId="0" applyNumberFormat="1" applyFont="1" applyFill="1" applyBorder="1"/>
    <xf numFmtId="44" fontId="18" fillId="3" borderId="15" xfId="12" applyNumberFormat="1" applyFont="1" applyBorder="1"/>
    <xf numFmtId="44" fontId="12" fillId="0" borderId="14" xfId="11" applyFont="1" applyBorder="1"/>
    <xf numFmtId="0" fontId="12" fillId="0" borderId="22" xfId="0" applyFont="1" applyBorder="1"/>
    <xf numFmtId="0" fontId="12" fillId="0" borderId="19" xfId="0" applyFont="1" applyBorder="1"/>
    <xf numFmtId="1" fontId="12" fillId="0" borderId="12" xfId="0" applyNumberFormat="1" applyFont="1" applyBorder="1"/>
    <xf numFmtId="0" fontId="12" fillId="0" borderId="12" xfId="0" applyFont="1" applyBorder="1"/>
    <xf numFmtId="166" fontId="12" fillId="0" borderId="12" xfId="0" applyNumberFormat="1" applyFont="1" applyBorder="1"/>
    <xf numFmtId="167" fontId="12" fillId="0" borderId="12" xfId="5" applyNumberFormat="1" applyFont="1" applyBorder="1"/>
    <xf numFmtId="0" fontId="12" fillId="0" borderId="20" xfId="0" applyFont="1" applyBorder="1"/>
    <xf numFmtId="0" fontId="12" fillId="0" borderId="0" xfId="0" applyFont="1" applyAlignment="1">
      <alignment vertical="center"/>
    </xf>
    <xf numFmtId="0" fontId="12" fillId="0" borderId="16" xfId="0" applyFont="1" applyBorder="1"/>
    <xf numFmtId="44" fontId="12" fillId="0" borderId="17" xfId="11" applyFont="1" applyBorder="1"/>
    <xf numFmtId="44" fontId="12" fillId="2" borderId="17" xfId="0" applyNumberFormat="1" applyFont="1" applyFill="1" applyBorder="1"/>
    <xf numFmtId="44" fontId="12" fillId="5" borderId="17" xfId="0" applyNumberFormat="1" applyFont="1" applyFill="1" applyBorder="1"/>
    <xf numFmtId="44" fontId="18" fillId="3" borderId="18" xfId="12" applyNumberFormat="1" applyFont="1" applyBorder="1"/>
    <xf numFmtId="0" fontId="12" fillId="0" borderId="0" xfId="0" applyFont="1" applyAlignment="1">
      <alignment horizontal="left"/>
    </xf>
    <xf numFmtId="9" fontId="12" fillId="0" borderId="6" xfId="0" applyNumberFormat="1" applyFont="1" applyBorder="1"/>
    <xf numFmtId="165" fontId="12" fillId="0" borderId="6" xfId="0" applyNumberFormat="1" applyFont="1" applyBorder="1"/>
    <xf numFmtId="0" fontId="16" fillId="4" borderId="11" xfId="0" applyFont="1" applyFill="1" applyBorder="1" applyAlignment="1">
      <alignment horizontal="center" vertical="center" wrapText="1"/>
    </xf>
    <xf numFmtId="164" fontId="12" fillId="0" borderId="12" xfId="11" applyNumberFormat="1" applyFont="1" applyFill="1" applyBorder="1"/>
    <xf numFmtId="3" fontId="12" fillId="0" borderId="12" xfId="4" applyNumberFormat="1" applyFont="1" applyFill="1" applyBorder="1"/>
    <xf numFmtId="41" fontId="12" fillId="0" borderId="12" xfId="4" applyNumberFormat="1" applyFont="1" applyFill="1" applyBorder="1" applyAlignment="1">
      <alignment horizontal="center"/>
    </xf>
    <xf numFmtId="164" fontId="12" fillId="0" borderId="12" xfId="0" applyNumberFormat="1" applyFont="1" applyBorder="1"/>
    <xf numFmtId="167" fontId="12" fillId="0" borderId="12" xfId="5" applyNumberFormat="1" applyFont="1" applyFill="1" applyBorder="1" applyAlignment="1"/>
    <xf numFmtId="165" fontId="12" fillId="0" borderId="12" xfId="0" applyNumberFormat="1" applyFont="1" applyBorder="1"/>
    <xf numFmtId="43" fontId="0" fillId="0" borderId="0" xfId="0" applyNumberFormat="1"/>
    <xf numFmtId="44" fontId="18" fillId="7" borderId="15" xfId="12" applyNumberFormat="1" applyFont="1" applyFill="1" applyBorder="1"/>
    <xf numFmtId="9" fontId="16" fillId="4" borderId="43" xfId="5" applyFont="1" applyFill="1" applyBorder="1" applyAlignment="1">
      <alignment horizontal="center" vertical="center" wrapText="1"/>
    </xf>
    <xf numFmtId="9" fontId="12" fillId="0" borderId="25" xfId="5" applyFont="1" applyBorder="1"/>
    <xf numFmtId="167" fontId="12" fillId="0" borderId="29" xfId="5" applyNumberFormat="1" applyFont="1" applyBorder="1"/>
    <xf numFmtId="167" fontId="12" fillId="2" borderId="29" xfId="5" applyNumberFormat="1" applyFont="1" applyFill="1" applyBorder="1"/>
    <xf numFmtId="167" fontId="12" fillId="5" borderId="29" xfId="5" applyNumberFormat="1" applyFont="1" applyFill="1" applyBorder="1"/>
    <xf numFmtId="167" fontId="18" fillId="3" borderId="30" xfId="5" applyNumberFormat="1" applyFont="1" applyFill="1" applyBorder="1"/>
    <xf numFmtId="167" fontId="12" fillId="0" borderId="0" xfId="5" applyNumberFormat="1" applyFont="1"/>
    <xf numFmtId="167" fontId="12" fillId="2" borderId="0" xfId="5" applyNumberFormat="1" applyFont="1" applyFill="1"/>
    <xf numFmtId="167" fontId="12" fillId="5" borderId="0" xfId="5" applyNumberFormat="1" applyFont="1" applyFill="1"/>
    <xf numFmtId="167" fontId="18" fillId="3" borderId="5" xfId="5" applyNumberFormat="1" applyFont="1" applyFill="1" applyBorder="1"/>
    <xf numFmtId="167" fontId="12" fillId="0" borderId="25" xfId="5" applyNumberFormat="1" applyFont="1" applyBorder="1"/>
    <xf numFmtId="167" fontId="12" fillId="0" borderId="31" xfId="5" applyNumberFormat="1" applyFont="1" applyBorder="1"/>
    <xf numFmtId="167" fontId="12" fillId="0" borderId="6" xfId="0" applyNumberFormat="1" applyFont="1" applyBorder="1"/>
    <xf numFmtId="167" fontId="12" fillId="2" borderId="6" xfId="5" applyNumberFormat="1" applyFont="1" applyFill="1" applyBorder="1"/>
    <xf numFmtId="167" fontId="12" fillId="5" borderId="6" xfId="5" applyNumberFormat="1" applyFont="1" applyFill="1" applyBorder="1"/>
    <xf numFmtId="167" fontId="18" fillId="3" borderId="7" xfId="5" applyNumberFormat="1" applyFont="1" applyFill="1" applyBorder="1"/>
    <xf numFmtId="167" fontId="19" fillId="0" borderId="0" xfId="5" applyNumberFormat="1" applyFont="1" applyBorder="1"/>
    <xf numFmtId="167" fontId="12" fillId="0" borderId="1" xfId="5" applyNumberFormat="1" applyFont="1" applyBorder="1"/>
    <xf numFmtId="167" fontId="12" fillId="2" borderId="1" xfId="5" applyNumberFormat="1" applyFont="1" applyFill="1" applyBorder="1"/>
    <xf numFmtId="167" fontId="12" fillId="5" borderId="1" xfId="5" applyNumberFormat="1" applyFont="1" applyFill="1" applyBorder="1"/>
    <xf numFmtId="167" fontId="18" fillId="3" borderId="34" xfId="5" applyNumberFormat="1" applyFont="1" applyFill="1" applyBorder="1"/>
    <xf numFmtId="0" fontId="15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6" fontId="12" fillId="0" borderId="0" xfId="0" applyNumberFormat="1" applyFont="1"/>
    <xf numFmtId="0" fontId="20" fillId="0" borderId="39" xfId="0" applyFont="1" applyBorder="1"/>
    <xf numFmtId="0" fontId="20" fillId="0" borderId="36" xfId="0" applyFont="1" applyBorder="1"/>
    <xf numFmtId="0" fontId="21" fillId="0" borderId="36" xfId="0" applyFont="1" applyBorder="1"/>
    <xf numFmtId="0" fontId="12" fillId="0" borderId="44" xfId="0" applyFont="1" applyBorder="1"/>
    <xf numFmtId="0" fontId="16" fillId="4" borderId="10" xfId="0" applyFont="1" applyFill="1" applyBorder="1" applyAlignment="1">
      <alignment horizontal="center" vertical="center" wrapText="1"/>
    </xf>
    <xf numFmtId="9" fontId="16" fillId="4" borderId="46" xfId="5" applyFont="1" applyFill="1" applyBorder="1" applyAlignment="1">
      <alignment horizontal="center" vertical="center" wrapText="1"/>
    </xf>
    <xf numFmtId="9" fontId="16" fillId="4" borderId="45" xfId="5" applyFont="1" applyFill="1" applyBorder="1" applyAlignment="1">
      <alignment horizontal="center" vertical="center" wrapText="1"/>
    </xf>
    <xf numFmtId="38" fontId="16" fillId="4" borderId="45" xfId="0" applyNumberFormat="1" applyFont="1" applyFill="1" applyBorder="1" applyAlignment="1">
      <alignment horizontal="center" vertical="center" wrapText="1"/>
    </xf>
    <xf numFmtId="0" fontId="16" fillId="4" borderId="47" xfId="0" applyFont="1" applyFill="1" applyBorder="1" applyAlignment="1">
      <alignment horizontal="center" vertical="center" wrapText="1"/>
    </xf>
    <xf numFmtId="0" fontId="20" fillId="0" borderId="20" xfId="0" applyFont="1" applyBorder="1"/>
    <xf numFmtId="0" fontId="20" fillId="0" borderId="5" xfId="0" applyFont="1" applyBorder="1"/>
    <xf numFmtId="0" fontId="20" fillId="0" borderId="5" xfId="0" applyFont="1" applyBorder="1" applyAlignment="1">
      <alignment wrapText="1"/>
    </xf>
    <xf numFmtId="0" fontId="20" fillId="0" borderId="7" xfId="0" applyFont="1" applyBorder="1"/>
    <xf numFmtId="0" fontId="16" fillId="4" borderId="48" xfId="0" applyFont="1" applyFill="1" applyBorder="1" applyAlignment="1">
      <alignment horizontal="center" vertical="center" wrapText="1"/>
    </xf>
    <xf numFmtId="1" fontId="16" fillId="4" borderId="49" xfId="0" applyNumberFormat="1" applyFont="1" applyFill="1" applyBorder="1" applyAlignment="1">
      <alignment horizontal="center" vertical="center" wrapText="1"/>
    </xf>
    <xf numFmtId="38" fontId="16" fillId="4" borderId="49" xfId="0" applyNumberFormat="1" applyFont="1" applyFill="1" applyBorder="1" applyAlignment="1">
      <alignment horizontal="center" vertical="center" wrapText="1"/>
    </xf>
    <xf numFmtId="169" fontId="16" fillId="4" borderId="49" xfId="11" applyNumberFormat="1" applyFont="1" applyFill="1" applyBorder="1" applyAlignment="1">
      <alignment horizontal="center" vertical="center" wrapText="1"/>
    </xf>
    <xf numFmtId="168" fontId="16" fillId="4" borderId="49" xfId="4" applyNumberFormat="1" applyFont="1" applyFill="1" applyBorder="1" applyAlignment="1">
      <alignment horizontal="center" vertical="center" wrapText="1"/>
    </xf>
    <xf numFmtId="40" fontId="16" fillId="4" borderId="49" xfId="0" applyNumberFormat="1" applyFont="1" applyFill="1" applyBorder="1" applyAlignment="1">
      <alignment horizontal="center" vertical="center" wrapText="1"/>
    </xf>
    <xf numFmtId="9" fontId="16" fillId="4" borderId="49" xfId="5" applyFont="1" applyFill="1" applyBorder="1" applyAlignment="1">
      <alignment horizontal="center" vertical="center" wrapText="1"/>
    </xf>
    <xf numFmtId="9" fontId="16" fillId="4" borderId="50" xfId="5" applyFont="1" applyFill="1" applyBorder="1" applyAlignment="1">
      <alignment horizontal="center" vertical="center" wrapText="1"/>
    </xf>
    <xf numFmtId="38" fontId="16" fillId="4" borderId="51" xfId="0" applyNumberFormat="1" applyFont="1" applyFill="1" applyBorder="1" applyAlignment="1">
      <alignment horizontal="center" vertical="center" wrapText="1"/>
    </xf>
    <xf numFmtId="0" fontId="20" fillId="0" borderId="7" xfId="0" applyFont="1" applyBorder="1" applyAlignment="1">
      <alignment wrapText="1"/>
    </xf>
    <xf numFmtId="0" fontId="16" fillId="4" borderId="11" xfId="0" applyFont="1" applyFill="1" applyBorder="1" applyAlignment="1">
      <alignment horizontal="center" vertical="center"/>
    </xf>
    <xf numFmtId="1" fontId="16" fillId="4" borderId="49" xfId="0" applyNumberFormat="1" applyFont="1" applyFill="1" applyBorder="1" applyAlignment="1">
      <alignment horizontal="center" vertical="center"/>
    </xf>
    <xf numFmtId="169" fontId="16" fillId="4" borderId="49" xfId="11" applyNumberFormat="1" applyFont="1" applyFill="1" applyBorder="1" applyAlignment="1">
      <alignment horizontal="center" vertical="center"/>
    </xf>
    <xf numFmtId="38" fontId="16" fillId="4" borderId="51" xfId="0" applyNumberFormat="1" applyFont="1" applyFill="1" applyBorder="1" applyAlignment="1">
      <alignment horizontal="center" vertical="center"/>
    </xf>
    <xf numFmtId="3" fontId="12" fillId="0" borderId="12" xfId="4" applyNumberFormat="1" applyFont="1" applyFill="1" applyBorder="1" applyAlignment="1"/>
    <xf numFmtId="3" fontId="12" fillId="0" borderId="6" xfId="4" applyNumberFormat="1" applyFont="1" applyFill="1" applyBorder="1" applyAlignment="1"/>
    <xf numFmtId="0" fontId="20" fillId="0" borderId="24" xfId="0" applyFont="1" applyBorder="1"/>
    <xf numFmtId="0" fontId="18" fillId="0" borderId="40" xfId="0" applyFont="1" applyBorder="1"/>
    <xf numFmtId="0" fontId="4" fillId="0" borderId="0" xfId="0" applyFont="1"/>
    <xf numFmtId="1" fontId="18" fillId="0" borderId="0" xfId="0" applyNumberFormat="1" applyFont="1"/>
    <xf numFmtId="0" fontId="18" fillId="0" borderId="0" xfId="0" applyFont="1"/>
    <xf numFmtId="8" fontId="18" fillId="0" borderId="0" xfId="0" applyNumberFormat="1" applyFont="1"/>
    <xf numFmtId="168" fontId="18" fillId="0" borderId="0" xfId="4" applyNumberFormat="1" applyFont="1" applyBorder="1" applyAlignment="1"/>
    <xf numFmtId="164" fontId="18" fillId="0" borderId="0" xfId="0" applyNumberFormat="1" applyFont="1"/>
    <xf numFmtId="167" fontId="18" fillId="0" borderId="0" xfId="5" applyNumberFormat="1" applyFont="1" applyBorder="1"/>
    <xf numFmtId="165" fontId="18" fillId="0" borderId="0" xfId="0" applyNumberFormat="1" applyFont="1"/>
    <xf numFmtId="0" fontId="18" fillId="0" borderId="36" xfId="0" applyFont="1" applyBorder="1" applyAlignment="1">
      <alignment wrapText="1"/>
    </xf>
    <xf numFmtId="0" fontId="18" fillId="0" borderId="2" xfId="0" applyFont="1" applyBorder="1"/>
    <xf numFmtId="166" fontId="18" fillId="0" borderId="0" xfId="0" applyNumberFormat="1" applyFont="1"/>
    <xf numFmtId="3" fontId="18" fillId="0" borderId="0" xfId="0" applyNumberFormat="1" applyFont="1"/>
    <xf numFmtId="41" fontId="18" fillId="0" borderId="0" xfId="0" applyNumberFormat="1" applyFont="1"/>
    <xf numFmtId="166" fontId="18" fillId="0" borderId="0" xfId="4" applyNumberFormat="1" applyFont="1" applyFill="1" applyBorder="1" applyAlignment="1"/>
    <xf numFmtId="167" fontId="18" fillId="0" borderId="0" xfId="5" applyNumberFormat="1" applyFont="1" applyFill="1" applyBorder="1"/>
    <xf numFmtId="0" fontId="18" fillId="0" borderId="5" xfId="0" applyFont="1" applyBorder="1" applyAlignment="1">
      <alignment wrapText="1"/>
    </xf>
    <xf numFmtId="1" fontId="18" fillId="0" borderId="0" xfId="0" applyNumberFormat="1" applyFont="1" applyAlignment="1">
      <alignment horizontal="center"/>
    </xf>
    <xf numFmtId="170" fontId="18" fillId="0" borderId="0" xfId="0" applyNumberFormat="1" applyFont="1"/>
    <xf numFmtId="0" fontId="18" fillId="0" borderId="36" xfId="0" applyFont="1" applyBorder="1"/>
    <xf numFmtId="0" fontId="18" fillId="0" borderId="41" xfId="0" applyFont="1" applyBorder="1"/>
    <xf numFmtId="1" fontId="18" fillId="0" borderId="42" xfId="0" applyNumberFormat="1" applyFont="1" applyBorder="1" applyAlignment="1">
      <alignment horizontal="center"/>
    </xf>
    <xf numFmtId="0" fontId="18" fillId="0" borderId="42" xfId="0" applyFont="1" applyBorder="1"/>
    <xf numFmtId="1" fontId="18" fillId="0" borderId="42" xfId="0" applyNumberFormat="1" applyFont="1" applyBorder="1"/>
    <xf numFmtId="166" fontId="18" fillId="0" borderId="42" xfId="0" applyNumberFormat="1" applyFont="1" applyBorder="1"/>
    <xf numFmtId="3" fontId="18" fillId="0" borderId="42" xfId="0" applyNumberFormat="1" applyFont="1" applyBorder="1"/>
    <xf numFmtId="41" fontId="18" fillId="0" borderId="42" xfId="0" applyNumberFormat="1" applyFont="1" applyBorder="1"/>
    <xf numFmtId="167" fontId="18" fillId="0" borderId="42" xfId="5" applyNumberFormat="1" applyFont="1" applyBorder="1"/>
    <xf numFmtId="170" fontId="18" fillId="0" borderId="42" xfId="0" applyNumberFormat="1" applyFont="1" applyBorder="1"/>
    <xf numFmtId="0" fontId="18" fillId="0" borderId="35" xfId="0" applyFont="1" applyBorder="1"/>
    <xf numFmtId="9" fontId="18" fillId="0" borderId="0" xfId="5" applyFont="1" applyBorder="1"/>
    <xf numFmtId="0" fontId="16" fillId="0" borderId="36" xfId="0" applyFont="1" applyBorder="1"/>
    <xf numFmtId="164" fontId="18" fillId="0" borderId="42" xfId="0" applyNumberFormat="1" applyFont="1" applyBorder="1"/>
    <xf numFmtId="0" fontId="18" fillId="0" borderId="37" xfId="0" applyFont="1" applyBorder="1"/>
    <xf numFmtId="1" fontId="18" fillId="0" borderId="38" xfId="0" applyNumberFormat="1" applyFont="1" applyBorder="1"/>
    <xf numFmtId="0" fontId="18" fillId="0" borderId="38" xfId="0" applyFont="1" applyBorder="1"/>
    <xf numFmtId="8" fontId="18" fillId="0" borderId="38" xfId="0" applyNumberFormat="1" applyFont="1" applyBorder="1"/>
    <xf numFmtId="168" fontId="18" fillId="0" borderId="38" xfId="4" applyNumberFormat="1" applyFont="1" applyBorder="1" applyAlignment="1"/>
    <xf numFmtId="0" fontId="22" fillId="0" borderId="0" xfId="0" applyFont="1"/>
    <xf numFmtId="8" fontId="18" fillId="0" borderId="42" xfId="0" applyNumberFormat="1" applyFont="1" applyBorder="1"/>
    <xf numFmtId="168" fontId="18" fillId="0" borderId="42" xfId="4" applyNumberFormat="1" applyFont="1" applyBorder="1" applyAlignment="1"/>
    <xf numFmtId="167" fontId="18" fillId="0" borderId="38" xfId="5" applyNumberFormat="1" applyFont="1" applyBorder="1"/>
    <xf numFmtId="165" fontId="18" fillId="0" borderId="38" xfId="0" applyNumberFormat="1" applyFont="1" applyBorder="1"/>
    <xf numFmtId="0" fontId="18" fillId="0" borderId="39" xfId="0" applyFont="1" applyBorder="1" applyAlignment="1">
      <alignment wrapText="1"/>
    </xf>
    <xf numFmtId="165" fontId="18" fillId="0" borderId="42" xfId="0" applyNumberFormat="1" applyFont="1" applyBorder="1"/>
    <xf numFmtId="0" fontId="18" fillId="0" borderId="35" xfId="0" applyFont="1" applyBorder="1" applyAlignment="1">
      <alignment wrapText="1"/>
    </xf>
    <xf numFmtId="164" fontId="18" fillId="0" borderId="38" xfId="0" applyNumberFormat="1" applyFont="1" applyBorder="1"/>
    <xf numFmtId="167" fontId="18" fillId="0" borderId="38" xfId="5" applyNumberFormat="1" applyFont="1" applyFill="1" applyBorder="1"/>
    <xf numFmtId="167" fontId="18" fillId="0" borderId="42" xfId="5" applyNumberFormat="1" applyFont="1" applyFill="1" applyBorder="1"/>
    <xf numFmtId="1" fontId="18" fillId="0" borderId="38" xfId="0" applyNumberFormat="1" applyFont="1" applyBorder="1" applyAlignment="1">
      <alignment horizontal="center"/>
    </xf>
    <xf numFmtId="166" fontId="18" fillId="0" borderId="38" xfId="0" applyNumberFormat="1" applyFont="1" applyBorder="1"/>
    <xf numFmtId="3" fontId="18" fillId="0" borderId="38" xfId="0" applyNumberFormat="1" applyFont="1" applyBorder="1"/>
    <xf numFmtId="41" fontId="18" fillId="0" borderId="38" xfId="0" applyNumberFormat="1" applyFont="1" applyBorder="1"/>
    <xf numFmtId="0" fontId="18" fillId="0" borderId="0" xfId="0" applyFont="1" applyAlignment="1">
      <alignment horizontal="center"/>
    </xf>
    <xf numFmtId="3" fontId="18" fillId="0" borderId="0" xfId="4" applyNumberFormat="1" applyFont="1" applyFill="1" applyBorder="1" applyAlignment="1"/>
    <xf numFmtId="170" fontId="18" fillId="0" borderId="38" xfId="0" applyNumberFormat="1" applyFont="1" applyBorder="1"/>
    <xf numFmtId="9" fontId="18" fillId="0" borderId="38" xfId="5" applyFont="1" applyBorder="1"/>
    <xf numFmtId="9" fontId="18" fillId="0" borderId="0" xfId="0" applyNumberFormat="1" applyFont="1"/>
    <xf numFmtId="9" fontId="18" fillId="0" borderId="42" xfId="0" applyNumberFormat="1" applyFont="1" applyBorder="1"/>
    <xf numFmtId="166" fontId="18" fillId="0" borderId="0" xfId="11" applyNumberFormat="1" applyFont="1" applyBorder="1"/>
    <xf numFmtId="168" fontId="18" fillId="0" borderId="0" xfId="4" applyNumberFormat="1" applyFont="1" applyBorder="1"/>
    <xf numFmtId="168" fontId="18" fillId="0" borderId="0" xfId="4" applyNumberFormat="1" applyFont="1" applyBorder="1" applyAlignment="1">
      <alignment horizontal="center"/>
    </xf>
    <xf numFmtId="164" fontId="18" fillId="0" borderId="0" xfId="11" applyNumberFormat="1" applyFont="1" applyBorder="1"/>
    <xf numFmtId="0" fontId="18" fillId="0" borderId="9" xfId="0" applyFont="1" applyBorder="1"/>
    <xf numFmtId="1" fontId="18" fillId="0" borderId="6" xfId="0" applyNumberFormat="1" applyFont="1" applyBorder="1"/>
    <xf numFmtId="0" fontId="18" fillId="0" borderId="6" xfId="0" applyFont="1" applyBorder="1"/>
    <xf numFmtId="166" fontId="18" fillId="0" borderId="6" xfId="0" applyNumberFormat="1" applyFont="1" applyBorder="1"/>
    <xf numFmtId="3" fontId="18" fillId="0" borderId="6" xfId="0" applyNumberFormat="1" applyFont="1" applyBorder="1"/>
    <xf numFmtId="41" fontId="18" fillId="0" borderId="6" xfId="0" applyNumberFormat="1" applyFont="1" applyBorder="1"/>
    <xf numFmtId="43" fontId="18" fillId="0" borderId="0" xfId="0" applyNumberFormat="1" applyFont="1"/>
    <xf numFmtId="167" fontId="18" fillId="2" borderId="0" xfId="5" applyNumberFormat="1" applyFont="1" applyFill="1" applyBorder="1"/>
    <xf numFmtId="167" fontId="18" fillId="2" borderId="42" xfId="5" applyNumberFormat="1" applyFont="1" applyFill="1" applyBorder="1"/>
    <xf numFmtId="43" fontId="18" fillId="0" borderId="42" xfId="0" applyNumberFormat="1" applyFont="1" applyBorder="1"/>
    <xf numFmtId="0" fontId="18" fillId="0" borderId="19" xfId="0" applyFont="1" applyBorder="1"/>
    <xf numFmtId="1" fontId="18" fillId="0" borderId="12" xfId="0" applyNumberFormat="1" applyFont="1" applyBorder="1"/>
    <xf numFmtId="0" fontId="18" fillId="0" borderId="12" xfId="0" applyFont="1" applyBorder="1"/>
    <xf numFmtId="166" fontId="18" fillId="0" borderId="12" xfId="0" applyNumberFormat="1" applyFont="1" applyBorder="1"/>
    <xf numFmtId="3" fontId="18" fillId="0" borderId="12" xfId="0" applyNumberFormat="1" applyFont="1" applyBorder="1"/>
    <xf numFmtId="41" fontId="18" fillId="0" borderId="12" xfId="0" applyNumberFormat="1" applyFont="1" applyBorder="1"/>
    <xf numFmtId="44" fontId="18" fillId="0" borderId="12" xfId="11" applyFont="1" applyBorder="1"/>
    <xf numFmtId="167" fontId="18" fillId="0" borderId="12" xfId="5" applyNumberFormat="1" applyFont="1" applyBorder="1"/>
    <xf numFmtId="170" fontId="18" fillId="0" borderId="12" xfId="4" applyNumberFormat="1" applyFont="1" applyBorder="1"/>
    <xf numFmtId="44" fontId="18" fillId="0" borderId="0" xfId="11" applyFont="1" applyBorder="1"/>
    <xf numFmtId="170" fontId="18" fillId="0" borderId="0" xfId="4" applyNumberFormat="1" applyFont="1" applyBorder="1"/>
    <xf numFmtId="44" fontId="18" fillId="0" borderId="6" xfId="11" applyFont="1" applyBorder="1"/>
    <xf numFmtId="167" fontId="18" fillId="0" borderId="6" xfId="5" applyNumberFormat="1" applyFont="1" applyBorder="1"/>
    <xf numFmtId="170" fontId="18" fillId="0" borderId="6" xfId="4" applyNumberFormat="1" applyFont="1" applyBorder="1"/>
    <xf numFmtId="0" fontId="18" fillId="0" borderId="12" xfId="0" applyFont="1" applyBorder="1" applyAlignment="1">
      <alignment vertical="center"/>
    </xf>
    <xf numFmtId="44" fontId="18" fillId="2" borderId="12" xfId="11" applyFont="1" applyFill="1" applyBorder="1"/>
    <xf numFmtId="0" fontId="18" fillId="0" borderId="0" xfId="0" applyFont="1" applyAlignment="1">
      <alignment vertical="center"/>
    </xf>
    <xf numFmtId="0" fontId="18" fillId="0" borderId="6" xfId="0" applyFont="1" applyBorder="1" applyAlignment="1">
      <alignment vertical="center"/>
    </xf>
    <xf numFmtId="1" fontId="18" fillId="0" borderId="29" xfId="0" applyNumberFormat="1" applyFont="1" applyBorder="1"/>
    <xf numFmtId="0" fontId="18" fillId="0" borderId="29" xfId="0" applyFont="1" applyBorder="1"/>
    <xf numFmtId="6" fontId="18" fillId="0" borderId="29" xfId="0" applyNumberFormat="1" applyFont="1" applyBorder="1"/>
    <xf numFmtId="3" fontId="18" fillId="0" borderId="29" xfId="0" applyNumberFormat="1" applyFont="1" applyBorder="1"/>
    <xf numFmtId="41" fontId="18" fillId="0" borderId="29" xfId="0" applyNumberFormat="1" applyFont="1" applyBorder="1"/>
    <xf numFmtId="164" fontId="18" fillId="0" borderId="29" xfId="0" applyNumberFormat="1" applyFont="1" applyBorder="1"/>
    <xf numFmtId="9" fontId="18" fillId="0" borderId="29" xfId="0" applyNumberFormat="1" applyFont="1" applyBorder="1"/>
    <xf numFmtId="43" fontId="18" fillId="0" borderId="29" xfId="0" applyNumberFormat="1" applyFont="1" applyBorder="1"/>
    <xf numFmtId="0" fontId="17" fillId="6" borderId="39" xfId="13" applyFont="1" applyFill="1" applyBorder="1" applyAlignment="1">
      <alignment horizontal="left"/>
    </xf>
    <xf numFmtId="0" fontId="16" fillId="4" borderId="52" xfId="0" applyFont="1" applyFill="1" applyBorder="1" applyAlignment="1">
      <alignment horizontal="center" vertical="center" wrapText="1"/>
    </xf>
    <xf numFmtId="0" fontId="16" fillId="4" borderId="53" xfId="0" applyFont="1" applyFill="1" applyBorder="1" applyAlignment="1">
      <alignment horizontal="center" vertical="center" wrapText="1"/>
    </xf>
    <xf numFmtId="0" fontId="18" fillId="0" borderId="54" xfId="0" applyFont="1" applyBorder="1"/>
    <xf numFmtId="0" fontId="18" fillId="0" borderId="55" xfId="0" applyFont="1" applyBorder="1"/>
    <xf numFmtId="6" fontId="18" fillId="0" borderId="0" xfId="0" applyNumberFormat="1" applyFont="1"/>
    <xf numFmtId="6" fontId="18" fillId="0" borderId="42" xfId="0" applyNumberFormat="1" applyFont="1" applyBorder="1"/>
    <xf numFmtId="0" fontId="18" fillId="0" borderId="12" xfId="0" applyFont="1" applyBorder="1" applyAlignment="1">
      <alignment horizontal="left"/>
    </xf>
    <xf numFmtId="3" fontId="18" fillId="0" borderId="12" xfId="4" applyNumberFormat="1" applyFont="1" applyFill="1" applyBorder="1" applyAlignment="1"/>
    <xf numFmtId="166" fontId="18" fillId="0" borderId="0" xfId="2" applyNumberFormat="1" applyFont="1" applyFill="1" applyBorder="1" applyAlignment="1"/>
    <xf numFmtId="0" fontId="18" fillId="0" borderId="6" xfId="0" applyFont="1" applyBorder="1" applyAlignment="1">
      <alignment horizontal="left"/>
    </xf>
    <xf numFmtId="166" fontId="18" fillId="0" borderId="12" xfId="4" applyNumberFormat="1" applyFont="1" applyFill="1" applyBorder="1" applyAlignment="1"/>
    <xf numFmtId="164" fontId="18" fillId="0" borderId="12" xfId="0" applyNumberFormat="1" applyFont="1" applyBorder="1"/>
    <xf numFmtId="167" fontId="18" fillId="0" borderId="12" xfId="5" applyNumberFormat="1" applyFont="1" applyFill="1" applyBorder="1"/>
    <xf numFmtId="165" fontId="18" fillId="0" borderId="12" xfId="0" applyNumberFormat="1" applyFont="1" applyBorder="1"/>
    <xf numFmtId="164" fontId="18" fillId="0" borderId="6" xfId="0" applyNumberFormat="1" applyFont="1" applyBorder="1"/>
    <xf numFmtId="167" fontId="18" fillId="0" borderId="6" xfId="5" applyNumberFormat="1" applyFont="1" applyFill="1" applyBorder="1"/>
    <xf numFmtId="165" fontId="18" fillId="0" borderId="6" xfId="0" applyNumberFormat="1" applyFont="1" applyBorder="1"/>
    <xf numFmtId="0" fontId="18" fillId="0" borderId="23" xfId="0" applyFont="1" applyBorder="1"/>
    <xf numFmtId="0" fontId="18" fillId="0" borderId="21" xfId="0" applyFont="1" applyBorder="1"/>
    <xf numFmtId="1" fontId="18" fillId="0" borderId="21" xfId="0" applyNumberFormat="1" applyFont="1" applyBorder="1"/>
    <xf numFmtId="166" fontId="18" fillId="0" borderId="21" xfId="0" applyNumberFormat="1" applyFont="1" applyBorder="1"/>
    <xf numFmtId="3" fontId="18" fillId="0" borderId="21" xfId="0" applyNumberFormat="1" applyFont="1" applyBorder="1"/>
    <xf numFmtId="41" fontId="18" fillId="0" borderId="21" xfId="0" applyNumberFormat="1" applyFont="1" applyBorder="1"/>
    <xf numFmtId="164" fontId="18" fillId="0" borderId="21" xfId="0" applyNumberFormat="1" applyFont="1" applyBorder="1"/>
    <xf numFmtId="9" fontId="18" fillId="0" borderId="21" xfId="0" applyNumberFormat="1" applyFont="1" applyBorder="1"/>
    <xf numFmtId="165" fontId="18" fillId="0" borderId="21" xfId="0" applyNumberFormat="1" applyFont="1" applyBorder="1"/>
    <xf numFmtId="166" fontId="18" fillId="0" borderId="29" xfId="11" applyNumberFormat="1" applyFont="1" applyBorder="1"/>
    <xf numFmtId="166" fontId="18" fillId="0" borderId="0" xfId="11" applyNumberFormat="1" applyFont="1"/>
    <xf numFmtId="166" fontId="18" fillId="0" borderId="42" xfId="11" applyNumberFormat="1" applyFont="1" applyBorder="1"/>
    <xf numFmtId="2" fontId="12" fillId="0" borderId="0" xfId="0" applyNumberFormat="1" applyFont="1"/>
    <xf numFmtId="166" fontId="12" fillId="0" borderId="0" xfId="4" applyNumberFormat="1" applyFont="1" applyFill="1" applyBorder="1" applyAlignment="1"/>
    <xf numFmtId="164" fontId="12" fillId="0" borderId="0" xfId="4" applyNumberFormat="1" applyFont="1" applyFill="1" applyBorder="1" applyAlignment="1"/>
    <xf numFmtId="0" fontId="23" fillId="0" borderId="0" xfId="0" applyFont="1" applyAlignment="1">
      <alignment wrapText="1"/>
    </xf>
    <xf numFmtId="3" fontId="18" fillId="0" borderId="36" xfId="0" applyNumberFormat="1" applyFont="1" applyBorder="1" applyAlignment="1">
      <alignment wrapText="1"/>
    </xf>
    <xf numFmtId="0" fontId="18" fillId="0" borderId="0" xfId="0" applyFont="1" applyAlignment="1">
      <alignment wrapText="1"/>
    </xf>
    <xf numFmtId="0" fontId="4" fillId="0" borderId="0" xfId="0" applyFont="1" applyAlignment="1">
      <alignment wrapText="1"/>
    </xf>
    <xf numFmtId="164" fontId="14" fillId="0" borderId="0" xfId="0" applyNumberFormat="1" applyFont="1"/>
    <xf numFmtId="167" fontId="12" fillId="0" borderId="0" xfId="0" applyNumberFormat="1" applyFont="1"/>
    <xf numFmtId="0" fontId="24" fillId="0" borderId="0" xfId="14"/>
    <xf numFmtId="0" fontId="24" fillId="0" borderId="2" xfId="14" applyBorder="1"/>
    <xf numFmtId="0" fontId="17" fillId="6" borderId="6" xfId="13" applyFont="1" applyFill="1" applyBorder="1"/>
    <xf numFmtId="0" fontId="24" fillId="0" borderId="9" xfId="14" applyBorder="1"/>
    <xf numFmtId="0" fontId="24" fillId="0" borderId="6" xfId="14" applyBorder="1"/>
    <xf numFmtId="10" fontId="12" fillId="0" borderId="0" xfId="0" applyNumberFormat="1" applyFont="1"/>
    <xf numFmtId="10" fontId="12" fillId="0" borderId="0" xfId="5" applyNumberFormat="1" applyFont="1"/>
    <xf numFmtId="164" fontId="12" fillId="0" borderId="0" xfId="11" applyNumberFormat="1" applyFont="1" applyFill="1"/>
    <xf numFmtId="0" fontId="12" fillId="0" borderId="36" xfId="0" applyFont="1" applyBorder="1"/>
    <xf numFmtId="9" fontId="18" fillId="0" borderId="42" xfId="5" applyFont="1" applyBorder="1"/>
    <xf numFmtId="0" fontId="18" fillId="0" borderId="39" xfId="0" applyFont="1" applyBorder="1"/>
    <xf numFmtId="44" fontId="18" fillId="7" borderId="34" xfId="12" applyNumberFormat="1" applyFont="1" applyFill="1" applyBorder="1"/>
    <xf numFmtId="3" fontId="18" fillId="0" borderId="38" xfId="4" applyNumberFormat="1" applyFont="1" applyFill="1" applyBorder="1" applyAlignment="1"/>
    <xf numFmtId="165" fontId="18" fillId="0" borderId="12" xfId="5" applyNumberFormat="1" applyFont="1" applyBorder="1"/>
    <xf numFmtId="165" fontId="18" fillId="0" borderId="0" xfId="5" applyNumberFormat="1" applyFont="1" applyBorder="1"/>
    <xf numFmtId="0" fontId="20" fillId="0" borderId="0" xfId="0" applyFont="1" applyAlignment="1">
      <alignment wrapText="1"/>
    </xf>
    <xf numFmtId="167" fontId="18" fillId="0" borderId="20" xfId="5" applyNumberFormat="1" applyFont="1" applyBorder="1"/>
    <xf numFmtId="0" fontId="18" fillId="0" borderId="0" xfId="0" applyFont="1" applyAlignment="1">
      <alignment horizontal="left"/>
    </xf>
    <xf numFmtId="167" fontId="18" fillId="0" borderId="5" xfId="5" applyNumberFormat="1" applyFont="1" applyBorder="1"/>
    <xf numFmtId="0" fontId="22" fillId="0" borderId="12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17" fillId="6" borderId="0" xfId="13" applyFont="1" applyFill="1" applyAlignment="1">
      <alignment horizontal="left"/>
    </xf>
    <xf numFmtId="0" fontId="0" fillId="0" borderId="6" xfId="0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7" fillId="6" borderId="0" xfId="13" applyFont="1" applyFill="1" applyAlignment="1">
      <alignment horizontal="left" wrapText="1"/>
    </xf>
    <xf numFmtId="0" fontId="0" fillId="0" borderId="0" xfId="0" applyAlignment="1">
      <alignment horizontal="center"/>
    </xf>
    <xf numFmtId="0" fontId="17" fillId="6" borderId="37" xfId="13" applyFont="1" applyFill="1" applyBorder="1" applyAlignment="1">
      <alignment horizontal="left"/>
    </xf>
    <xf numFmtId="0" fontId="17" fillId="6" borderId="38" xfId="13" applyFont="1" applyFill="1" applyBorder="1" applyAlignment="1">
      <alignment horizontal="left"/>
    </xf>
    <xf numFmtId="1" fontId="18" fillId="0" borderId="0" xfId="0" applyNumberFormat="1" applyFont="1" applyBorder="1" applyAlignment="1">
      <alignment horizontal="center"/>
    </xf>
    <xf numFmtId="0" fontId="18" fillId="0" borderId="0" xfId="0" applyFont="1" applyBorder="1"/>
    <xf numFmtId="1" fontId="18" fillId="0" borderId="0" xfId="0" applyNumberFormat="1" applyFont="1" applyBorder="1"/>
    <xf numFmtId="166" fontId="18" fillId="0" borderId="0" xfId="0" applyNumberFormat="1" applyFont="1" applyBorder="1"/>
    <xf numFmtId="3" fontId="18" fillId="0" borderId="0" xfId="0" applyNumberFormat="1" applyFont="1" applyBorder="1"/>
    <xf numFmtId="41" fontId="18" fillId="0" borderId="0" xfId="0" applyNumberFormat="1" applyFont="1" applyBorder="1"/>
    <xf numFmtId="164" fontId="18" fillId="0" borderId="0" xfId="0" applyNumberFormat="1" applyFont="1" applyBorder="1"/>
    <xf numFmtId="170" fontId="18" fillId="0" borderId="0" xfId="0" applyNumberFormat="1" applyFont="1" applyBorder="1"/>
    <xf numFmtId="0" fontId="20" fillId="0" borderId="35" xfId="0" applyFont="1" applyBorder="1"/>
    <xf numFmtId="165" fontId="18" fillId="0" borderId="0" xfId="0" applyNumberFormat="1" applyFont="1" applyBorder="1"/>
    <xf numFmtId="43" fontId="18" fillId="0" borderId="0" xfId="0" applyNumberFormat="1" applyFont="1" applyBorder="1"/>
    <xf numFmtId="0" fontId="18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166" fontId="18" fillId="0" borderId="6" xfId="11" applyNumberFormat="1" applyFont="1" applyFill="1" applyBorder="1"/>
    <xf numFmtId="3" fontId="18" fillId="0" borderId="6" xfId="4" applyNumberFormat="1" applyFont="1" applyFill="1" applyBorder="1" applyAlignment="1"/>
    <xf numFmtId="166" fontId="18" fillId="0" borderId="6" xfId="4" applyNumberFormat="1" applyFont="1" applyFill="1" applyBorder="1" applyAlignment="1"/>
    <xf numFmtId="0" fontId="18" fillId="0" borderId="20" xfId="0" applyFont="1" applyBorder="1" applyAlignment="1">
      <alignment wrapText="1"/>
    </xf>
  </cellXfs>
  <cellStyles count="15">
    <cellStyle name="Bad" xfId="12" builtinId="27"/>
    <cellStyle name="Comma" xfId="4" builtinId="3"/>
    <cellStyle name="Comma 2" xfId="2" xr:uid="{D1291356-2CF8-4B3F-96C0-097DE07FEFE6}"/>
    <cellStyle name="Comma 2 2" xfId="8" xr:uid="{7DC4E1FB-3810-4861-9637-88E635C466BF}"/>
    <cellStyle name="Comma 3" xfId="3" xr:uid="{D5ADF4DA-1BFE-4026-B221-ACA4BBE30618}"/>
    <cellStyle name="Currency" xfId="11" builtinId="4"/>
    <cellStyle name="Currency 2" xfId="1" xr:uid="{DF5B7D01-3A8D-4028-915E-A9560AD2A06F}"/>
    <cellStyle name="Currency 85" xfId="10" xr:uid="{70326EF5-B639-41F1-8594-225E0690CFAF}"/>
    <cellStyle name="Normal" xfId="0" builtinId="0"/>
    <cellStyle name="Normal 2" xfId="14" xr:uid="{9935D6D6-6E1C-4EC2-8C35-DA02962FA308}"/>
    <cellStyle name="Normal 2 2" xfId="6" xr:uid="{9F144BAE-6F55-427B-9C1E-AF17A3CF116A}"/>
    <cellStyle name="Normal 3 2" xfId="7" xr:uid="{302C9DE7-9A16-4076-860F-301B86C48CF8}"/>
    <cellStyle name="Normal_Raw - Rte-Year" xfId="13" xr:uid="{D73EAA97-7747-4E8D-AD78-8553A982DBB5}"/>
    <cellStyle name="Percent" xfId="5" builtinId="5"/>
    <cellStyle name="Percent 2" xfId="9" xr:uid="{FD1F2722-99BC-4A63-AB9E-1BEC38177F41}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C7CE"/>
        </patternFill>
      </fill>
    </dxf>
    <dxf>
      <border>
        <bottom style="dotted">
          <color auto="1"/>
        </bottom>
        <vertical/>
        <horizontal/>
      </border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7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DBE5F1"/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430F2-5540-4846-ADF8-D32AEEFA229B}">
  <dimension ref="A1:T106"/>
  <sheetViews>
    <sheetView tabSelected="1" topLeftCell="A2" zoomScale="80" zoomScaleNormal="80" workbookViewId="0">
      <pane ySplit="2" topLeftCell="A4" activePane="bottomLeft" state="frozen"/>
      <selection activeCell="A2" sqref="A2"/>
      <selection pane="bottomLeft" activeCell="A4" sqref="A4"/>
    </sheetView>
  </sheetViews>
  <sheetFormatPr defaultRowHeight="15" x14ac:dyDescent="0.25"/>
  <cols>
    <col min="1" max="1" width="25.42578125" customWidth="1"/>
    <col min="2" max="2" width="10.140625" customWidth="1"/>
    <col min="3" max="3" width="10.7109375" customWidth="1"/>
    <col min="4" max="4" width="18.85546875" customWidth="1"/>
    <col min="5" max="5" width="10.7109375" customWidth="1"/>
    <col min="6" max="6" width="15.5703125" customWidth="1"/>
    <col min="7" max="7" width="13.85546875" customWidth="1"/>
    <col min="8" max="8" width="13.140625" customWidth="1"/>
    <col min="9" max="9" width="12.5703125" bestFit="1" customWidth="1"/>
    <col min="10" max="10" width="16.28515625" bestFit="1" customWidth="1"/>
    <col min="11" max="11" width="12.5703125" bestFit="1" customWidth="1"/>
    <col min="12" max="14" width="14.140625" customWidth="1"/>
    <col min="15" max="15" width="13.140625" customWidth="1"/>
    <col min="16" max="16" width="40.7109375" style="6" customWidth="1"/>
    <col min="17" max="17" width="16.42578125" bestFit="1" customWidth="1"/>
    <col min="18" max="18" width="20.85546875" bestFit="1" customWidth="1"/>
    <col min="19" max="19" width="26.7109375" bestFit="1" customWidth="1"/>
    <col min="20" max="20" width="19.7109375" bestFit="1" customWidth="1"/>
  </cols>
  <sheetData>
    <row r="1" spans="1:20" ht="22.5" x14ac:dyDescent="0.45">
      <c r="A1" s="13" t="s">
        <v>31</v>
      </c>
    </row>
    <row r="2" spans="1:20" ht="37.5" thickBot="1" x14ac:dyDescent="0.75">
      <c r="A2" s="333" t="s">
        <v>90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7"/>
    </row>
    <row r="3" spans="1:20" s="6" customFormat="1" ht="75.75" thickBot="1" x14ac:dyDescent="0.3">
      <c r="A3" s="44" t="s">
        <v>7</v>
      </c>
      <c r="B3" s="45" t="s">
        <v>79</v>
      </c>
      <c r="C3" s="38" t="s">
        <v>66</v>
      </c>
      <c r="D3" s="38" t="s">
        <v>0</v>
      </c>
      <c r="E3" s="39" t="s">
        <v>1</v>
      </c>
      <c r="F3" s="39" t="s">
        <v>2</v>
      </c>
      <c r="G3" s="39" t="s">
        <v>32</v>
      </c>
      <c r="H3" s="40" t="s">
        <v>34</v>
      </c>
      <c r="I3" s="40" t="s">
        <v>58</v>
      </c>
      <c r="J3" s="41" t="s">
        <v>33</v>
      </c>
      <c r="K3" s="42" t="s">
        <v>13</v>
      </c>
      <c r="L3" s="42" t="s">
        <v>64</v>
      </c>
      <c r="M3" s="120" t="s">
        <v>86</v>
      </c>
      <c r="N3" s="120" t="s">
        <v>88</v>
      </c>
      <c r="O3" s="46" t="s">
        <v>36</v>
      </c>
      <c r="P3" s="44" t="s">
        <v>37</v>
      </c>
    </row>
    <row r="4" spans="1:20" ht="15.75" thickTop="1" x14ac:dyDescent="0.25">
      <c r="A4" s="207" t="s">
        <v>117</v>
      </c>
      <c r="B4" s="208">
        <v>94</v>
      </c>
      <c r="C4" s="208" t="s">
        <v>100</v>
      </c>
      <c r="D4" s="209" t="s">
        <v>62</v>
      </c>
      <c r="E4" s="208" t="s">
        <v>27</v>
      </c>
      <c r="F4" s="210">
        <v>3247869.32</v>
      </c>
      <c r="G4" s="210">
        <v>298051.53000000003</v>
      </c>
      <c r="H4" s="211">
        <v>212650.06</v>
      </c>
      <c r="I4" s="211">
        <v>9820.7900000000009</v>
      </c>
      <c r="J4" s="210">
        <f t="shared" ref="J4:J35" si="0">+F4-G4</f>
        <v>2949817.79</v>
      </c>
      <c r="K4" s="220">
        <f t="shared" ref="K4:K35" si="1">+J4/H4</f>
        <v>13.871699777559433</v>
      </c>
      <c r="L4" s="215">
        <f t="shared" ref="L4:L27" si="2">+IF(E4="Weekdays",K4/$G$57,IF(E4="Saturdays",K4/$G$58,IF(E4="Sundays",K4/$G$59,"NA")))</f>
        <v>0.73771364552395013</v>
      </c>
      <c r="M4" s="221">
        <f t="shared" ref="M4:M43" si="3">G4/F4</f>
        <v>9.176832582660685E-2</v>
      </c>
      <c r="N4" s="215">
        <f t="shared" ref="N4:N35" si="4">+IF(E4="Weekdays",M4/$G$63,IF(E4="Saturdays",M4/$G$64,IF(E4="Sundays",M4/$G$65,"NA")))</f>
        <v>0.6217033468008939</v>
      </c>
      <c r="O4" s="216">
        <f t="shared" ref="O4:O35" si="5">+H4/I4</f>
        <v>21.653050314689548</v>
      </c>
      <c r="P4" s="217"/>
    </row>
    <row r="5" spans="1:20" x14ac:dyDescent="0.25">
      <c r="A5" s="174" t="s">
        <v>117</v>
      </c>
      <c r="B5" s="176">
        <v>113</v>
      </c>
      <c r="C5" s="176" t="s">
        <v>100</v>
      </c>
      <c r="D5" s="177" t="s">
        <v>62</v>
      </c>
      <c r="E5" s="176" t="s">
        <v>27</v>
      </c>
      <c r="F5" s="178">
        <v>558292.03</v>
      </c>
      <c r="G5" s="178">
        <v>53289.919999999998</v>
      </c>
      <c r="H5" s="179">
        <v>38965.79</v>
      </c>
      <c r="I5" s="179">
        <v>1352.7</v>
      </c>
      <c r="J5" s="178">
        <f t="shared" si="0"/>
        <v>505002.11000000004</v>
      </c>
      <c r="K5" s="180">
        <f t="shared" si="1"/>
        <v>12.960140420609976</v>
      </c>
      <c r="L5" s="181">
        <f t="shared" si="2"/>
        <v>0.68923582470097344</v>
      </c>
      <c r="M5" s="189">
        <f t="shared" si="3"/>
        <v>9.5451693981732103E-2</v>
      </c>
      <c r="N5" s="181">
        <f t="shared" si="4"/>
        <v>0.64665707989904375</v>
      </c>
      <c r="O5" s="182">
        <f t="shared" si="5"/>
        <v>28.805936275596952</v>
      </c>
      <c r="P5" s="183"/>
    </row>
    <row r="6" spans="1:20" x14ac:dyDescent="0.25">
      <c r="A6" s="174" t="s">
        <v>117</v>
      </c>
      <c r="B6" s="176">
        <v>114</v>
      </c>
      <c r="C6" s="176" t="s">
        <v>100</v>
      </c>
      <c r="D6" s="177" t="s">
        <v>62</v>
      </c>
      <c r="E6" s="176" t="s">
        <v>27</v>
      </c>
      <c r="F6" s="178">
        <v>644799.29</v>
      </c>
      <c r="G6" s="178">
        <v>66265.81</v>
      </c>
      <c r="H6" s="179">
        <v>47903.26</v>
      </c>
      <c r="I6" s="179">
        <v>1535.83</v>
      </c>
      <c r="J6" s="178">
        <f t="shared" si="0"/>
        <v>578533.48</v>
      </c>
      <c r="K6" s="180">
        <f t="shared" si="1"/>
        <v>12.077121264815796</v>
      </c>
      <c r="L6" s="181">
        <f t="shared" si="2"/>
        <v>0.64227580603460821</v>
      </c>
      <c r="M6" s="189">
        <f t="shared" si="3"/>
        <v>0.10276966961300468</v>
      </c>
      <c r="N6" s="181">
        <f t="shared" si="4"/>
        <v>0.69623420687383331</v>
      </c>
      <c r="O6" s="182">
        <f t="shared" si="5"/>
        <v>31.190470299447206</v>
      </c>
      <c r="P6" s="183"/>
    </row>
    <row r="7" spans="1:20" x14ac:dyDescent="0.25">
      <c r="A7" s="174" t="s">
        <v>117</v>
      </c>
      <c r="B7" s="176">
        <v>250</v>
      </c>
      <c r="C7" s="176" t="s">
        <v>100</v>
      </c>
      <c r="D7" s="177" t="s">
        <v>62</v>
      </c>
      <c r="E7" s="176" t="s">
        <v>27</v>
      </c>
      <c r="F7" s="178">
        <v>1584559.56</v>
      </c>
      <c r="G7" s="178">
        <v>409777.96</v>
      </c>
      <c r="H7" s="179">
        <v>91751.95</v>
      </c>
      <c r="I7" s="179">
        <v>3427.52</v>
      </c>
      <c r="J7" s="178">
        <f t="shared" si="0"/>
        <v>1174781.6000000001</v>
      </c>
      <c r="K7" s="180">
        <f t="shared" si="1"/>
        <v>12.803887001856637</v>
      </c>
      <c r="L7" s="181">
        <f t="shared" si="2"/>
        <v>0.68092608032771484</v>
      </c>
      <c r="M7" s="189">
        <f t="shared" si="3"/>
        <v>0.2586068522410101</v>
      </c>
      <c r="N7" s="181">
        <f t="shared" si="4"/>
        <v>1.7519851658584513</v>
      </c>
      <c r="O7" s="182">
        <f t="shared" si="5"/>
        <v>26.769194636355149</v>
      </c>
      <c r="P7" s="183"/>
    </row>
    <row r="8" spans="1:20" x14ac:dyDescent="0.25">
      <c r="A8" s="174" t="s">
        <v>117</v>
      </c>
      <c r="B8" s="176">
        <v>252</v>
      </c>
      <c r="C8" s="176" t="s">
        <v>100</v>
      </c>
      <c r="D8" s="177" t="s">
        <v>62</v>
      </c>
      <c r="E8" s="176" t="s">
        <v>27</v>
      </c>
      <c r="F8" s="178">
        <v>277529.24</v>
      </c>
      <c r="G8" s="178">
        <v>28352.29</v>
      </c>
      <c r="H8" s="179">
        <v>14883.7</v>
      </c>
      <c r="I8" s="179">
        <v>501.38</v>
      </c>
      <c r="J8" s="178">
        <f t="shared" si="0"/>
        <v>249176.94999999998</v>
      </c>
      <c r="K8" s="180">
        <f t="shared" si="1"/>
        <v>16.741599870999817</v>
      </c>
      <c r="L8" s="181">
        <f t="shared" si="2"/>
        <v>0.89033837747254774</v>
      </c>
      <c r="M8" s="189">
        <f t="shared" si="3"/>
        <v>0.10215964991652772</v>
      </c>
      <c r="N8" s="181">
        <f t="shared" si="4"/>
        <v>0.69210150331301235</v>
      </c>
      <c r="O8" s="182">
        <f t="shared" si="5"/>
        <v>29.685468108021862</v>
      </c>
      <c r="P8" s="183"/>
    </row>
    <row r="9" spans="1:20" x14ac:dyDescent="0.25">
      <c r="A9" s="174" t="s">
        <v>117</v>
      </c>
      <c r="B9" s="176">
        <v>264</v>
      </c>
      <c r="C9" s="176" t="s">
        <v>100</v>
      </c>
      <c r="D9" s="177" t="s">
        <v>62</v>
      </c>
      <c r="E9" s="176" t="s">
        <v>27</v>
      </c>
      <c r="F9" s="178">
        <v>241983.97</v>
      </c>
      <c r="G9" s="178">
        <v>52717.2</v>
      </c>
      <c r="H9" s="179">
        <v>11884.18</v>
      </c>
      <c r="I9" s="179">
        <v>590.52</v>
      </c>
      <c r="J9" s="178">
        <f t="shared" si="0"/>
        <v>189266.77000000002</v>
      </c>
      <c r="K9" s="180">
        <f t="shared" si="1"/>
        <v>15.925942723856423</v>
      </c>
      <c r="L9" s="181">
        <f t="shared" si="2"/>
        <v>0.84696075128644499</v>
      </c>
      <c r="M9" s="189">
        <f t="shared" si="3"/>
        <v>0.21785410000505404</v>
      </c>
      <c r="N9" s="181">
        <f t="shared" si="4"/>
        <v>1.4758972866449498</v>
      </c>
      <c r="O9" s="182">
        <f t="shared" si="5"/>
        <v>20.124940730203889</v>
      </c>
      <c r="P9" s="183"/>
      <c r="Q9" s="2"/>
      <c r="S9" s="2"/>
      <c r="T9" s="2"/>
    </row>
    <row r="10" spans="1:20" x14ac:dyDescent="0.25">
      <c r="A10" s="174" t="s">
        <v>117</v>
      </c>
      <c r="B10" s="176">
        <v>270</v>
      </c>
      <c r="C10" s="176" t="s">
        <v>100</v>
      </c>
      <c r="D10" s="177" t="s">
        <v>62</v>
      </c>
      <c r="E10" s="176" t="s">
        <v>27</v>
      </c>
      <c r="F10" s="178">
        <v>778097.82</v>
      </c>
      <c r="G10" s="178">
        <v>176168.49</v>
      </c>
      <c r="H10" s="179">
        <v>39770.29</v>
      </c>
      <c r="I10" s="179">
        <v>1674.45</v>
      </c>
      <c r="J10" s="178">
        <f t="shared" si="0"/>
        <v>601929.32999999996</v>
      </c>
      <c r="K10" s="180">
        <f t="shared" si="1"/>
        <v>15.135150636316707</v>
      </c>
      <c r="L10" s="181">
        <f t="shared" si="2"/>
        <v>0.80490547881766195</v>
      </c>
      <c r="M10" s="189">
        <f t="shared" si="3"/>
        <v>0.22640918078911981</v>
      </c>
      <c r="N10" s="181">
        <f t="shared" si="4"/>
        <v>1.5338554362319354</v>
      </c>
      <c r="O10" s="182">
        <f t="shared" si="5"/>
        <v>23.751255636179042</v>
      </c>
      <c r="P10" s="183"/>
      <c r="Q10" s="8"/>
      <c r="S10" s="8"/>
      <c r="T10" s="10"/>
    </row>
    <row r="11" spans="1:20" x14ac:dyDescent="0.25">
      <c r="A11" s="174" t="s">
        <v>117</v>
      </c>
      <c r="B11" s="176">
        <v>275</v>
      </c>
      <c r="C11" s="176" t="s">
        <v>100</v>
      </c>
      <c r="D11" s="177" t="s">
        <v>62</v>
      </c>
      <c r="E11" s="176" t="s">
        <v>27</v>
      </c>
      <c r="F11" s="178">
        <v>300159.78000000003</v>
      </c>
      <c r="G11" s="178">
        <v>50096.22</v>
      </c>
      <c r="H11" s="179">
        <v>12285.91</v>
      </c>
      <c r="I11" s="179">
        <v>643.02</v>
      </c>
      <c r="J11" s="178">
        <f t="shared" si="0"/>
        <v>250063.56000000003</v>
      </c>
      <c r="K11" s="180">
        <f t="shared" si="1"/>
        <v>20.353686458715718</v>
      </c>
      <c r="L11" s="181">
        <f t="shared" si="2"/>
        <v>1.0824334780948079</v>
      </c>
      <c r="M11" s="189">
        <f t="shared" si="3"/>
        <v>0.16689850985365193</v>
      </c>
      <c r="N11" s="181">
        <f t="shared" si="4"/>
        <v>1.1306881891705309</v>
      </c>
      <c r="O11" s="182">
        <f t="shared" si="5"/>
        <v>19.106575223165688</v>
      </c>
      <c r="P11" s="183"/>
    </row>
    <row r="12" spans="1:20" x14ac:dyDescent="0.25">
      <c r="A12" s="174" t="s">
        <v>117</v>
      </c>
      <c r="B12" s="177">
        <v>294</v>
      </c>
      <c r="C12" s="177" t="s">
        <v>100</v>
      </c>
      <c r="D12" s="177" t="s">
        <v>62</v>
      </c>
      <c r="E12" s="177" t="s">
        <v>27</v>
      </c>
      <c r="F12" s="178">
        <v>205992.85</v>
      </c>
      <c r="G12" s="178">
        <v>21265.86</v>
      </c>
      <c r="H12" s="179">
        <v>6433.9</v>
      </c>
      <c r="I12" s="179">
        <v>586.62</v>
      </c>
      <c r="J12" s="178">
        <f t="shared" si="0"/>
        <v>184726.99</v>
      </c>
      <c r="K12" s="180">
        <f t="shared" si="1"/>
        <v>28.711510903184692</v>
      </c>
      <c r="L12" s="181">
        <f t="shared" si="2"/>
        <v>1.5269126146424972</v>
      </c>
      <c r="M12" s="189">
        <f t="shared" si="3"/>
        <v>0.10323591328533976</v>
      </c>
      <c r="N12" s="181">
        <f t="shared" si="4"/>
        <v>0.69939287026781471</v>
      </c>
      <c r="O12" s="182">
        <f t="shared" si="5"/>
        <v>10.967747434455013</v>
      </c>
      <c r="P12" s="183"/>
    </row>
    <row r="13" spans="1:20" x14ac:dyDescent="0.25">
      <c r="A13" s="174" t="s">
        <v>117</v>
      </c>
      <c r="B13" s="177">
        <v>351</v>
      </c>
      <c r="C13" s="177" t="s">
        <v>100</v>
      </c>
      <c r="D13" s="177" t="s">
        <v>62</v>
      </c>
      <c r="E13" s="177" t="s">
        <v>27</v>
      </c>
      <c r="F13" s="178">
        <v>329746.56</v>
      </c>
      <c r="G13" s="178">
        <v>35477.379999999997</v>
      </c>
      <c r="H13" s="179">
        <v>10645.86</v>
      </c>
      <c r="I13" s="179">
        <v>605.17999999999995</v>
      </c>
      <c r="J13" s="178">
        <f t="shared" si="0"/>
        <v>294269.18</v>
      </c>
      <c r="K13" s="180">
        <f t="shared" si="1"/>
        <v>27.641654126580658</v>
      </c>
      <c r="L13" s="181">
        <f t="shared" si="2"/>
        <v>1.47001634702475</v>
      </c>
      <c r="M13" s="189">
        <f t="shared" si="3"/>
        <v>0.10758984111919165</v>
      </c>
      <c r="N13" s="181">
        <f t="shared" si="4"/>
        <v>0.72888944745447692</v>
      </c>
      <c r="O13" s="182">
        <f t="shared" si="5"/>
        <v>17.591229055818108</v>
      </c>
      <c r="P13" s="183"/>
    </row>
    <row r="14" spans="1:20" x14ac:dyDescent="0.25">
      <c r="A14" s="174" t="s">
        <v>117</v>
      </c>
      <c r="B14" s="177">
        <v>355</v>
      </c>
      <c r="C14" s="177" t="s">
        <v>100</v>
      </c>
      <c r="D14" s="177" t="s">
        <v>62</v>
      </c>
      <c r="E14" s="177" t="s">
        <v>27</v>
      </c>
      <c r="F14" s="178">
        <v>1207145.17</v>
      </c>
      <c r="G14" s="178">
        <v>283308.13</v>
      </c>
      <c r="H14" s="179">
        <v>68052.95</v>
      </c>
      <c r="I14" s="179">
        <v>2428.7199999999998</v>
      </c>
      <c r="J14" s="178">
        <f t="shared" si="0"/>
        <v>923837.03999999992</v>
      </c>
      <c r="K14" s="180">
        <f t="shared" si="1"/>
        <v>13.57526808169227</v>
      </c>
      <c r="L14" s="181">
        <f t="shared" si="2"/>
        <v>0.72194905210615001</v>
      </c>
      <c r="M14" s="189">
        <f t="shared" si="3"/>
        <v>0.23469267577817507</v>
      </c>
      <c r="N14" s="181">
        <f t="shared" si="4"/>
        <v>1.589973672143034</v>
      </c>
      <c r="O14" s="182">
        <f t="shared" si="5"/>
        <v>28.020088771039891</v>
      </c>
      <c r="P14" s="183"/>
    </row>
    <row r="15" spans="1:20" x14ac:dyDescent="0.25">
      <c r="A15" s="174" t="s">
        <v>117</v>
      </c>
      <c r="B15" s="177">
        <v>363</v>
      </c>
      <c r="C15" s="177" t="s">
        <v>100</v>
      </c>
      <c r="D15" s="177" t="s">
        <v>62</v>
      </c>
      <c r="E15" s="177" t="s">
        <v>27</v>
      </c>
      <c r="F15" s="178">
        <v>622538.86</v>
      </c>
      <c r="G15" s="178">
        <v>128263.86</v>
      </c>
      <c r="H15" s="179">
        <v>31338.09</v>
      </c>
      <c r="I15" s="179">
        <v>1310.48</v>
      </c>
      <c r="J15" s="178">
        <f t="shared" si="0"/>
        <v>494275</v>
      </c>
      <c r="K15" s="180">
        <f t="shared" si="1"/>
        <v>15.772339667159038</v>
      </c>
      <c r="L15" s="181">
        <f t="shared" si="2"/>
        <v>0.83879195634877179</v>
      </c>
      <c r="M15" s="189">
        <f t="shared" si="3"/>
        <v>0.20603349965976422</v>
      </c>
      <c r="N15" s="181">
        <f t="shared" si="4"/>
        <v>1.3958162049681631</v>
      </c>
      <c r="O15" s="182">
        <f t="shared" si="5"/>
        <v>23.913443928942065</v>
      </c>
      <c r="P15" s="183"/>
    </row>
    <row r="16" spans="1:20" x14ac:dyDescent="0.25">
      <c r="A16" s="174" t="s">
        <v>8</v>
      </c>
      <c r="B16" s="177">
        <v>460</v>
      </c>
      <c r="C16" s="177" t="s">
        <v>100</v>
      </c>
      <c r="D16" s="177" t="s">
        <v>62</v>
      </c>
      <c r="E16" s="177" t="s">
        <v>27</v>
      </c>
      <c r="F16" s="178">
        <v>1120189.6200000001</v>
      </c>
      <c r="G16" s="178">
        <v>220283.64</v>
      </c>
      <c r="H16" s="179">
        <v>100112</v>
      </c>
      <c r="I16" s="179">
        <v>4604.53</v>
      </c>
      <c r="J16" s="178">
        <f t="shared" si="0"/>
        <v>899905.9800000001</v>
      </c>
      <c r="K16" s="180">
        <f t="shared" si="1"/>
        <v>8.9889921288157275</v>
      </c>
      <c r="L16" s="181">
        <f t="shared" si="2"/>
        <v>0.47804539164424192</v>
      </c>
      <c r="M16" s="189">
        <f t="shared" si="3"/>
        <v>0.19664852813044276</v>
      </c>
      <c r="N16" s="181">
        <f t="shared" si="4"/>
        <v>1.3322357903005286</v>
      </c>
      <c r="O16" s="182">
        <f t="shared" si="5"/>
        <v>21.742067051360291</v>
      </c>
      <c r="P16" s="183"/>
    </row>
    <row r="17" spans="1:16" x14ac:dyDescent="0.25">
      <c r="A17" s="174" t="s">
        <v>8</v>
      </c>
      <c r="B17" s="177">
        <v>465</v>
      </c>
      <c r="C17" s="177" t="s">
        <v>100</v>
      </c>
      <c r="D17" s="177" t="s">
        <v>62</v>
      </c>
      <c r="E17" s="177" t="s">
        <v>27</v>
      </c>
      <c r="F17" s="178">
        <v>1795421.54</v>
      </c>
      <c r="G17" s="178">
        <v>296585.94</v>
      </c>
      <c r="H17" s="179">
        <v>134789</v>
      </c>
      <c r="I17" s="179">
        <v>7509.74</v>
      </c>
      <c r="J17" s="178">
        <f t="shared" si="0"/>
        <v>1498835.6</v>
      </c>
      <c r="K17" s="180">
        <f t="shared" si="1"/>
        <v>11.119865864425138</v>
      </c>
      <c r="L17" s="181">
        <f t="shared" si="2"/>
        <v>0.59136781476867228</v>
      </c>
      <c r="M17" s="189">
        <f t="shared" si="3"/>
        <v>0.16519014247762673</v>
      </c>
      <c r="N17" s="181">
        <f t="shared" si="4"/>
        <v>1.1191145039618988</v>
      </c>
      <c r="O17" s="182">
        <f t="shared" si="5"/>
        <v>17.948557473361262</v>
      </c>
      <c r="P17" s="183"/>
    </row>
    <row r="18" spans="1:16" x14ac:dyDescent="0.25">
      <c r="A18" s="174" t="s">
        <v>117</v>
      </c>
      <c r="B18" s="177">
        <v>467</v>
      </c>
      <c r="C18" s="177" t="s">
        <v>100</v>
      </c>
      <c r="D18" s="177" t="s">
        <v>62</v>
      </c>
      <c r="E18" s="177" t="s">
        <v>27</v>
      </c>
      <c r="F18" s="178">
        <v>649294</v>
      </c>
      <c r="G18" s="178">
        <v>82504.460000000006</v>
      </c>
      <c r="H18" s="179">
        <v>28795</v>
      </c>
      <c r="I18" s="179">
        <v>1738.8</v>
      </c>
      <c r="J18" s="178">
        <f t="shared" si="0"/>
        <v>566789.54</v>
      </c>
      <c r="K18" s="180">
        <f t="shared" si="1"/>
        <v>19.6836096544539</v>
      </c>
      <c r="L18" s="181">
        <f t="shared" si="2"/>
        <v>1.0467979892953239</v>
      </c>
      <c r="M18" s="189">
        <f t="shared" si="3"/>
        <v>0.12706795380829025</v>
      </c>
      <c r="N18" s="181">
        <f t="shared" si="4"/>
        <v>0.86084791721078757</v>
      </c>
      <c r="O18" s="182">
        <f t="shared" si="5"/>
        <v>16.560271451575801</v>
      </c>
      <c r="P18" s="183"/>
    </row>
    <row r="19" spans="1:16" x14ac:dyDescent="0.25">
      <c r="A19" s="174" t="s">
        <v>8</v>
      </c>
      <c r="B19" s="177">
        <v>470</v>
      </c>
      <c r="C19" s="177" t="s">
        <v>100</v>
      </c>
      <c r="D19" s="177" t="s">
        <v>62</v>
      </c>
      <c r="E19" s="177" t="s">
        <v>27</v>
      </c>
      <c r="F19" s="178">
        <v>438129.18</v>
      </c>
      <c r="G19" s="178">
        <v>75147.100000000006</v>
      </c>
      <c r="H19" s="179">
        <v>34152</v>
      </c>
      <c r="I19" s="179">
        <v>1669.94</v>
      </c>
      <c r="J19" s="178">
        <f t="shared" si="0"/>
        <v>362982.07999999996</v>
      </c>
      <c r="K19" s="180">
        <f t="shared" si="1"/>
        <v>10.628428203326305</v>
      </c>
      <c r="L19" s="181">
        <f t="shared" si="2"/>
        <v>0.56523257003799598</v>
      </c>
      <c r="M19" s="189">
        <f t="shared" si="3"/>
        <v>0.17151813535907379</v>
      </c>
      <c r="N19" s="181">
        <f t="shared" si="4"/>
        <v>1.1619847897330622</v>
      </c>
      <c r="O19" s="182">
        <f t="shared" si="5"/>
        <v>20.451034168892296</v>
      </c>
      <c r="P19" s="183"/>
    </row>
    <row r="20" spans="1:16" x14ac:dyDescent="0.25">
      <c r="A20" s="174" t="s">
        <v>8</v>
      </c>
      <c r="B20" s="176">
        <v>472</v>
      </c>
      <c r="C20" s="176" t="s">
        <v>100</v>
      </c>
      <c r="D20" s="177" t="s">
        <v>62</v>
      </c>
      <c r="E20" s="176" t="s">
        <v>27</v>
      </c>
      <c r="F20" s="178">
        <v>415354.24</v>
      </c>
      <c r="G20" s="178">
        <v>38108.239999999998</v>
      </c>
      <c r="H20" s="179">
        <v>17319</v>
      </c>
      <c r="I20" s="179">
        <v>1571.95</v>
      </c>
      <c r="J20" s="178">
        <f t="shared" si="0"/>
        <v>377246</v>
      </c>
      <c r="K20" s="180">
        <f t="shared" si="1"/>
        <v>21.782204515272245</v>
      </c>
      <c r="L20" s="181">
        <f t="shared" si="2"/>
        <v>1.1584037831113509</v>
      </c>
      <c r="M20" s="189">
        <f t="shared" si="3"/>
        <v>9.1748768472906403E-2</v>
      </c>
      <c r="N20" s="181">
        <f t="shared" si="4"/>
        <v>0.62157085149665225</v>
      </c>
      <c r="O20" s="182">
        <f t="shared" si="5"/>
        <v>11.017526002735456</v>
      </c>
      <c r="P20" s="183"/>
    </row>
    <row r="21" spans="1:16" ht="15.75" x14ac:dyDescent="0.25">
      <c r="A21" s="174" t="s">
        <v>8</v>
      </c>
      <c r="B21" s="212">
        <v>475</v>
      </c>
      <c r="C21" s="212" t="s">
        <v>100</v>
      </c>
      <c r="D21" s="177" t="s">
        <v>62</v>
      </c>
      <c r="E21" s="212" t="s">
        <v>27</v>
      </c>
      <c r="F21" s="178">
        <v>1123757.29</v>
      </c>
      <c r="G21" s="178">
        <v>151150.15</v>
      </c>
      <c r="H21" s="179">
        <v>68693</v>
      </c>
      <c r="I21" s="179">
        <v>4619.88</v>
      </c>
      <c r="J21" s="178">
        <f t="shared" si="0"/>
        <v>972607.14</v>
      </c>
      <c r="K21" s="180">
        <f t="shared" si="1"/>
        <v>14.158751837887412</v>
      </c>
      <c r="L21" s="181">
        <f t="shared" si="2"/>
        <v>0.7529794186646207</v>
      </c>
      <c r="M21" s="189">
        <f t="shared" si="3"/>
        <v>0.13450426648622674</v>
      </c>
      <c r="N21" s="181">
        <f t="shared" si="4"/>
        <v>0.91122674278145754</v>
      </c>
      <c r="O21" s="182">
        <f t="shared" si="5"/>
        <v>14.869000926430989</v>
      </c>
      <c r="P21" s="183"/>
    </row>
    <row r="22" spans="1:16" x14ac:dyDescent="0.25">
      <c r="A22" s="174" t="s">
        <v>8</v>
      </c>
      <c r="B22" s="177">
        <v>477</v>
      </c>
      <c r="C22" s="177" t="s">
        <v>100</v>
      </c>
      <c r="D22" s="177" t="s">
        <v>62</v>
      </c>
      <c r="E22" s="177" t="s">
        <v>27</v>
      </c>
      <c r="F22" s="178">
        <v>1276632.22</v>
      </c>
      <c r="G22" s="178">
        <v>297617.90999999997</v>
      </c>
      <c r="H22" s="179">
        <v>135258</v>
      </c>
      <c r="I22" s="179">
        <v>5277.63</v>
      </c>
      <c r="J22" s="178">
        <f t="shared" si="0"/>
        <v>979014.31</v>
      </c>
      <c r="K22" s="180">
        <f t="shared" si="1"/>
        <v>7.2381249907584024</v>
      </c>
      <c r="L22" s="181">
        <f t="shared" si="2"/>
        <v>0.38493217553111153</v>
      </c>
      <c r="M22" s="189">
        <f t="shared" si="3"/>
        <v>0.23312736850711788</v>
      </c>
      <c r="N22" s="181">
        <f t="shared" si="4"/>
        <v>1.5793691769599489</v>
      </c>
      <c r="O22" s="182">
        <f t="shared" si="5"/>
        <v>25.628549178324359</v>
      </c>
      <c r="P22" s="183"/>
    </row>
    <row r="23" spans="1:16" x14ac:dyDescent="0.25">
      <c r="A23" s="174" t="s">
        <v>8</v>
      </c>
      <c r="B23" s="176">
        <v>480</v>
      </c>
      <c r="C23" s="176" t="s">
        <v>100</v>
      </c>
      <c r="D23" s="177" t="s">
        <v>62</v>
      </c>
      <c r="E23" s="176" t="s">
        <v>27</v>
      </c>
      <c r="F23" s="178">
        <v>584422.68999999994</v>
      </c>
      <c r="G23" s="178">
        <v>51983.79</v>
      </c>
      <c r="H23" s="179">
        <v>23625</v>
      </c>
      <c r="I23" s="179">
        <v>2514.5</v>
      </c>
      <c r="J23" s="178">
        <f t="shared" si="0"/>
        <v>532438.89999999991</v>
      </c>
      <c r="K23" s="180">
        <f t="shared" si="1"/>
        <v>22.537096296296291</v>
      </c>
      <c r="L23" s="181">
        <f t="shared" si="2"/>
        <v>1.1985498341855112</v>
      </c>
      <c r="M23" s="189">
        <f t="shared" si="3"/>
        <v>8.8948959185688029E-2</v>
      </c>
      <c r="N23" s="181">
        <f t="shared" si="4"/>
        <v>0.60260296918443934</v>
      </c>
      <c r="O23" s="182">
        <f t="shared" si="5"/>
        <v>9.395506064824021</v>
      </c>
      <c r="P23" s="183"/>
    </row>
    <row r="24" spans="1:16" x14ac:dyDescent="0.25">
      <c r="A24" s="174" t="s">
        <v>8</v>
      </c>
      <c r="B24" s="176">
        <v>484</v>
      </c>
      <c r="C24" s="176" t="s">
        <v>100</v>
      </c>
      <c r="D24" s="177" t="s">
        <v>62</v>
      </c>
      <c r="E24" s="176" t="s">
        <v>27</v>
      </c>
      <c r="F24" s="178">
        <v>196413.63</v>
      </c>
      <c r="G24" s="178">
        <v>7923.54</v>
      </c>
      <c r="H24" s="179">
        <v>3601</v>
      </c>
      <c r="I24" s="179">
        <v>629.95000000000005</v>
      </c>
      <c r="J24" s="178">
        <f t="shared" si="0"/>
        <v>188490.09</v>
      </c>
      <c r="K24" s="180">
        <f t="shared" si="1"/>
        <v>52.343818383782285</v>
      </c>
      <c r="L24" s="181">
        <f t="shared" si="2"/>
        <v>2.7837070942820974</v>
      </c>
      <c r="M24" s="189">
        <f t="shared" si="3"/>
        <v>4.0341090381558552E-2</v>
      </c>
      <c r="N24" s="181">
        <f t="shared" si="4"/>
        <v>0.27329899154094273</v>
      </c>
      <c r="O24" s="182">
        <f t="shared" si="5"/>
        <v>5.7163266925946496</v>
      </c>
      <c r="P24" s="183"/>
    </row>
    <row r="25" spans="1:16" x14ac:dyDescent="0.25">
      <c r="A25" s="174" t="s">
        <v>8</v>
      </c>
      <c r="B25" s="176">
        <v>490</v>
      </c>
      <c r="C25" s="176" t="s">
        <v>100</v>
      </c>
      <c r="D25" s="177" t="s">
        <v>62</v>
      </c>
      <c r="E25" s="176" t="s">
        <v>27</v>
      </c>
      <c r="F25" s="178">
        <v>908646.97</v>
      </c>
      <c r="G25" s="178">
        <v>74099.73</v>
      </c>
      <c r="H25" s="179">
        <v>33676</v>
      </c>
      <c r="I25" s="179">
        <v>3694.36</v>
      </c>
      <c r="J25" s="178">
        <f t="shared" si="0"/>
        <v>834547.24</v>
      </c>
      <c r="K25" s="180">
        <f t="shared" si="1"/>
        <v>24.781661717543653</v>
      </c>
      <c r="L25" s="181">
        <f t="shared" si="2"/>
        <v>1.3179185176257404</v>
      </c>
      <c r="M25" s="189">
        <f t="shared" si="3"/>
        <v>8.1549526324838792E-2</v>
      </c>
      <c r="N25" s="181">
        <f t="shared" si="4"/>
        <v>0.55247399349940285</v>
      </c>
      <c r="O25" s="182">
        <f t="shared" si="5"/>
        <v>9.1155166253424138</v>
      </c>
      <c r="P25" s="183"/>
    </row>
    <row r="26" spans="1:16" x14ac:dyDescent="0.25">
      <c r="A26" s="174" t="s">
        <v>8</v>
      </c>
      <c r="B26" s="176">
        <v>493</v>
      </c>
      <c r="C26" s="176" t="s">
        <v>100</v>
      </c>
      <c r="D26" s="177" t="s">
        <v>62</v>
      </c>
      <c r="E26" s="176" t="s">
        <v>27</v>
      </c>
      <c r="F26" s="178">
        <v>325553.73</v>
      </c>
      <c r="G26" s="178">
        <v>29707.22</v>
      </c>
      <c r="H26" s="179">
        <v>13501</v>
      </c>
      <c r="I26" s="179">
        <v>1185.58</v>
      </c>
      <c r="J26" s="178">
        <f t="shared" si="0"/>
        <v>295846.51</v>
      </c>
      <c r="K26" s="180">
        <f t="shared" si="1"/>
        <v>21.912933116065478</v>
      </c>
      <c r="L26" s="181">
        <f t="shared" si="2"/>
        <v>1.1653560870259321</v>
      </c>
      <c r="M26" s="189">
        <f t="shared" si="3"/>
        <v>9.1251358109151456E-2</v>
      </c>
      <c r="N26" s="181">
        <f t="shared" si="4"/>
        <v>0.61820104295874556</v>
      </c>
      <c r="O26" s="182">
        <f t="shared" si="5"/>
        <v>11.387675230688778</v>
      </c>
      <c r="P26" s="183"/>
    </row>
    <row r="27" spans="1:16" x14ac:dyDescent="0.25">
      <c r="A27" s="174" t="s">
        <v>117</v>
      </c>
      <c r="B27" s="177">
        <v>578</v>
      </c>
      <c r="C27" s="177" t="s">
        <v>100</v>
      </c>
      <c r="D27" s="177" t="s">
        <v>62</v>
      </c>
      <c r="E27" s="177" t="s">
        <v>27</v>
      </c>
      <c r="F27" s="178">
        <v>242782.62</v>
      </c>
      <c r="G27" s="178">
        <v>44429.52</v>
      </c>
      <c r="H27" s="179">
        <v>11792.03</v>
      </c>
      <c r="I27" s="179">
        <v>570.22</v>
      </c>
      <c r="J27" s="178">
        <f t="shared" si="0"/>
        <v>198353.1</v>
      </c>
      <c r="K27" s="180">
        <f t="shared" si="1"/>
        <v>16.820946011840199</v>
      </c>
      <c r="L27" s="181">
        <f t="shared" si="2"/>
        <v>0.89455810048820217</v>
      </c>
      <c r="M27" s="189">
        <f t="shared" si="3"/>
        <v>0.18300123789750683</v>
      </c>
      <c r="N27" s="181">
        <f t="shared" si="4"/>
        <v>1.2397794232898596</v>
      </c>
      <c r="O27" s="182">
        <f t="shared" si="5"/>
        <v>20.67979025639227</v>
      </c>
      <c r="P27" s="183"/>
    </row>
    <row r="28" spans="1:16" x14ac:dyDescent="0.25">
      <c r="A28" s="174" t="s">
        <v>28</v>
      </c>
      <c r="B28" s="177">
        <v>600</v>
      </c>
      <c r="C28" s="177" t="s">
        <v>100</v>
      </c>
      <c r="D28" s="177" t="s">
        <v>62</v>
      </c>
      <c r="E28" s="177" t="s">
        <v>27</v>
      </c>
      <c r="F28" s="178">
        <v>142986.82999999999</v>
      </c>
      <c r="G28" s="178">
        <v>13364</v>
      </c>
      <c r="H28" s="179">
        <v>4922</v>
      </c>
      <c r="I28" s="179">
        <v>603</v>
      </c>
      <c r="J28" s="178">
        <f t="shared" si="0"/>
        <v>129622.82999999999</v>
      </c>
      <c r="K28" s="180">
        <f t="shared" si="1"/>
        <v>26.335398212108895</v>
      </c>
      <c r="L28" s="181">
        <f>K28/$G$57</f>
        <v>1.4005480894856781</v>
      </c>
      <c r="M28" s="189">
        <f t="shared" si="3"/>
        <v>9.346315321488001E-2</v>
      </c>
      <c r="N28" s="181">
        <f t="shared" si="4"/>
        <v>0.63318530258518191</v>
      </c>
      <c r="O28" s="182">
        <f t="shared" si="5"/>
        <v>8.1625207296849087</v>
      </c>
      <c r="P28" s="183"/>
    </row>
    <row r="29" spans="1:16" x14ac:dyDescent="0.25">
      <c r="A29" s="174" t="s">
        <v>117</v>
      </c>
      <c r="B29" s="177">
        <v>667</v>
      </c>
      <c r="C29" s="177" t="s">
        <v>100</v>
      </c>
      <c r="D29" s="177" t="s">
        <v>62</v>
      </c>
      <c r="E29" s="177" t="s">
        <v>27</v>
      </c>
      <c r="F29" s="178">
        <v>354234.12</v>
      </c>
      <c r="G29" s="178">
        <v>55350.27</v>
      </c>
      <c r="H29" s="179">
        <v>15564.99</v>
      </c>
      <c r="I29" s="179">
        <v>749.62</v>
      </c>
      <c r="J29" s="178">
        <f t="shared" si="0"/>
        <v>298883.84999999998</v>
      </c>
      <c r="K29" s="180">
        <f t="shared" si="1"/>
        <v>19.202315581314217</v>
      </c>
      <c r="L29" s="181">
        <f>+IF(E29="Weekdays",K29/$G$57,IF(E29="Saturdays",K29/$G$58,IF(E29="Sundays",K29/$G$59,"NA")))</f>
        <v>1.0212021927485062</v>
      </c>
      <c r="M29" s="189">
        <f t="shared" si="3"/>
        <v>0.15625335583144842</v>
      </c>
      <c r="N29" s="181">
        <f t="shared" si="4"/>
        <v>1.0585704097166522</v>
      </c>
      <c r="O29" s="182">
        <f t="shared" si="5"/>
        <v>20.763840345775193</v>
      </c>
      <c r="P29" s="183"/>
    </row>
    <row r="30" spans="1:16" x14ac:dyDescent="0.25">
      <c r="A30" s="174" t="s">
        <v>117</v>
      </c>
      <c r="B30" s="177">
        <v>673</v>
      </c>
      <c r="C30" s="177" t="s">
        <v>100</v>
      </c>
      <c r="D30" s="177" t="s">
        <v>62</v>
      </c>
      <c r="E30" s="177" t="s">
        <v>27</v>
      </c>
      <c r="F30" s="178">
        <v>418662.75</v>
      </c>
      <c r="G30" s="178">
        <v>69478.23</v>
      </c>
      <c r="H30" s="179">
        <v>17003.14</v>
      </c>
      <c r="I30" s="179">
        <v>981.12</v>
      </c>
      <c r="J30" s="178">
        <f t="shared" si="0"/>
        <v>349184.52</v>
      </c>
      <c r="K30" s="180">
        <f t="shared" si="1"/>
        <v>20.536472675047083</v>
      </c>
      <c r="L30" s="181">
        <f>+IF(E30="Weekdays",K30/$G$57,IF(E30="Saturdays",K30/$G$58,IF(E30="Sundays",K30/$G$59,"NA")))</f>
        <v>1.0921542684927863</v>
      </c>
      <c r="M30" s="189">
        <f t="shared" si="3"/>
        <v>0.1659527388094594</v>
      </c>
      <c r="N30" s="181">
        <f t="shared" si="4"/>
        <v>1.1242808692354058</v>
      </c>
      <c r="O30" s="182">
        <f t="shared" si="5"/>
        <v>17.330336757990867</v>
      </c>
      <c r="P30" s="183"/>
    </row>
    <row r="31" spans="1:16" x14ac:dyDescent="0.25">
      <c r="A31" s="174" t="s">
        <v>28</v>
      </c>
      <c r="B31" s="177">
        <v>695</v>
      </c>
      <c r="C31" s="177" t="s">
        <v>100</v>
      </c>
      <c r="D31" s="177" t="s">
        <v>62</v>
      </c>
      <c r="E31" s="177" t="s">
        <v>27</v>
      </c>
      <c r="F31" s="178">
        <v>615493.77</v>
      </c>
      <c r="G31" s="178">
        <v>110048</v>
      </c>
      <c r="H31" s="179">
        <v>40531</v>
      </c>
      <c r="I31" s="179">
        <v>2595.5</v>
      </c>
      <c r="J31" s="178">
        <f t="shared" si="0"/>
        <v>505445.77</v>
      </c>
      <c r="K31" s="180">
        <f t="shared" si="1"/>
        <v>12.470597073844711</v>
      </c>
      <c r="L31" s="181">
        <f>K31/$G$57</f>
        <v>0.6632013218804591</v>
      </c>
      <c r="M31" s="189">
        <f t="shared" si="3"/>
        <v>0.17879628578531348</v>
      </c>
      <c r="N31" s="181">
        <f t="shared" si="4"/>
        <v>1.2112921126874236</v>
      </c>
      <c r="O31" s="182">
        <f t="shared" si="5"/>
        <v>15.615873627432094</v>
      </c>
      <c r="P31" s="183"/>
    </row>
    <row r="32" spans="1:16" x14ac:dyDescent="0.25">
      <c r="A32" s="174" t="s">
        <v>28</v>
      </c>
      <c r="B32" s="177">
        <v>698</v>
      </c>
      <c r="C32" s="177" t="s">
        <v>100</v>
      </c>
      <c r="D32" s="177" t="s">
        <v>62</v>
      </c>
      <c r="E32" s="177" t="s">
        <v>27</v>
      </c>
      <c r="F32" s="178">
        <v>2564191.06</v>
      </c>
      <c r="G32" s="178">
        <v>486667</v>
      </c>
      <c r="H32" s="179">
        <v>179241</v>
      </c>
      <c r="I32" s="179">
        <v>10813.5</v>
      </c>
      <c r="J32" s="178">
        <f t="shared" si="0"/>
        <v>2077524.06</v>
      </c>
      <c r="K32" s="180">
        <f t="shared" si="1"/>
        <v>11.590674343481682</v>
      </c>
      <c r="L32" s="181">
        <f>K32/$G$57</f>
        <v>0.61640597483541903</v>
      </c>
      <c r="M32" s="189">
        <f t="shared" si="3"/>
        <v>0.18979357957827059</v>
      </c>
      <c r="N32" s="181">
        <f t="shared" si="4"/>
        <v>1.2857955352490655</v>
      </c>
      <c r="O32" s="182">
        <f t="shared" si="5"/>
        <v>16.575669302261062</v>
      </c>
      <c r="P32" s="183"/>
    </row>
    <row r="33" spans="1:16" x14ac:dyDescent="0.25">
      <c r="A33" s="174" t="s">
        <v>101</v>
      </c>
      <c r="B33" s="176">
        <v>747</v>
      </c>
      <c r="C33" s="176" t="s">
        <v>100</v>
      </c>
      <c r="D33" s="177" t="s">
        <v>62</v>
      </c>
      <c r="E33" s="176" t="s">
        <v>27</v>
      </c>
      <c r="F33" s="178">
        <v>1332150.18</v>
      </c>
      <c r="G33" s="178">
        <v>65272.2</v>
      </c>
      <c r="H33" s="179">
        <v>29367</v>
      </c>
      <c r="I33" s="179">
        <v>3968.25</v>
      </c>
      <c r="J33" s="178">
        <f t="shared" si="0"/>
        <v>1266877.98</v>
      </c>
      <c r="K33" s="180">
        <f t="shared" si="1"/>
        <v>43.139509653692919</v>
      </c>
      <c r="L33" s="181">
        <f>K33/$G$57</f>
        <v>2.2942109073197239</v>
      </c>
      <c r="M33" s="189">
        <f t="shared" si="3"/>
        <v>4.8997628780863133E-2</v>
      </c>
      <c r="N33" s="181">
        <f t="shared" si="4"/>
        <v>0.33194448655331588</v>
      </c>
      <c r="O33" s="182">
        <f t="shared" si="5"/>
        <v>7.4004914004914006</v>
      </c>
      <c r="P33" s="183"/>
    </row>
    <row r="34" spans="1:16" x14ac:dyDescent="0.25">
      <c r="A34" s="174" t="s">
        <v>117</v>
      </c>
      <c r="B34" s="177">
        <v>755</v>
      </c>
      <c r="C34" s="177" t="s">
        <v>100</v>
      </c>
      <c r="D34" s="177" t="s">
        <v>62</v>
      </c>
      <c r="E34" s="177" t="s">
        <v>27</v>
      </c>
      <c r="F34" s="178">
        <v>919564.64</v>
      </c>
      <c r="G34" s="178">
        <v>54297.19</v>
      </c>
      <c r="H34" s="179">
        <v>31674.59</v>
      </c>
      <c r="I34" s="179">
        <v>2613.2399999999998</v>
      </c>
      <c r="J34" s="178">
        <f t="shared" si="0"/>
        <v>865267.45</v>
      </c>
      <c r="K34" s="180">
        <f t="shared" si="1"/>
        <v>27.317400162085757</v>
      </c>
      <c r="L34" s="181">
        <f t="shared" ref="L34:L40" si="6">+IF(E34="Weekdays",K34/$G$57,IF(E34="Saturdays",K34/$G$58,IF(E34="Sundays",K34/$G$59,"NA")))</f>
        <v>1.4527721319639471</v>
      </c>
      <c r="M34" s="189">
        <f t="shared" si="3"/>
        <v>5.9046626673248337E-2</v>
      </c>
      <c r="N34" s="181">
        <f t="shared" si="4"/>
        <v>0.40002348402239302</v>
      </c>
      <c r="O34" s="182">
        <f t="shared" si="5"/>
        <v>12.120811712663208</v>
      </c>
      <c r="P34" s="183"/>
    </row>
    <row r="35" spans="1:16" s="175" customFormat="1" x14ac:dyDescent="0.25">
      <c r="A35" s="174" t="s">
        <v>117</v>
      </c>
      <c r="B35" s="177">
        <v>760</v>
      </c>
      <c r="C35" s="177" t="s">
        <v>100</v>
      </c>
      <c r="D35" s="177" t="s">
        <v>62</v>
      </c>
      <c r="E35" s="177" t="s">
        <v>27</v>
      </c>
      <c r="F35" s="178">
        <v>333954.07</v>
      </c>
      <c r="G35" s="178">
        <v>36680.269999999997</v>
      </c>
      <c r="H35" s="179">
        <v>11778.57</v>
      </c>
      <c r="I35" s="179">
        <v>844.2</v>
      </c>
      <c r="J35" s="178">
        <f t="shared" si="0"/>
        <v>297273.8</v>
      </c>
      <c r="K35" s="180">
        <f t="shared" si="1"/>
        <v>25.238530653551322</v>
      </c>
      <c r="L35" s="181">
        <f t="shared" si="6"/>
        <v>1.3422153560603569</v>
      </c>
      <c r="M35" s="189">
        <f t="shared" si="3"/>
        <v>0.10983627179629821</v>
      </c>
      <c r="N35" s="181">
        <f t="shared" si="4"/>
        <v>0.74410835286365051</v>
      </c>
      <c r="O35" s="182">
        <f t="shared" si="5"/>
        <v>13.95234541577825</v>
      </c>
      <c r="P35" s="183"/>
    </row>
    <row r="36" spans="1:16" s="175" customFormat="1" x14ac:dyDescent="0.25">
      <c r="A36" s="174" t="s">
        <v>117</v>
      </c>
      <c r="B36" s="177">
        <v>761</v>
      </c>
      <c r="C36" s="177" t="s">
        <v>100</v>
      </c>
      <c r="D36" s="177" t="s">
        <v>62</v>
      </c>
      <c r="E36" s="177" t="s">
        <v>27</v>
      </c>
      <c r="F36" s="178">
        <v>278102.78999999998</v>
      </c>
      <c r="G36" s="178">
        <v>22804.87</v>
      </c>
      <c r="H36" s="179">
        <v>8692.08</v>
      </c>
      <c r="I36" s="179">
        <v>584.64</v>
      </c>
      <c r="J36" s="178">
        <f t="shared" ref="J36:J53" si="7">+F36-G36</f>
        <v>255297.91999999998</v>
      </c>
      <c r="K36" s="180">
        <f t="shared" ref="K36:K53" si="8">+J36/H36</f>
        <v>29.371326540943016</v>
      </c>
      <c r="L36" s="181">
        <f t="shared" si="6"/>
        <v>1.562002402289995</v>
      </c>
      <c r="M36" s="189">
        <f t="shared" si="3"/>
        <v>8.2001586535683443E-2</v>
      </c>
      <c r="N36" s="181">
        <f t="shared" ref="N36:N53" si="9">+IF(E36="Weekdays",M36/$G$63,IF(E36="Saturdays",M36/$G$64,IF(E36="Sundays",M36/$G$65,"NA")))</f>
        <v>0.55553656812421037</v>
      </c>
      <c r="O36" s="182">
        <f t="shared" ref="O36:O53" si="10">+H36/I36</f>
        <v>14.867405582922824</v>
      </c>
      <c r="P36" s="183"/>
    </row>
    <row r="37" spans="1:16" s="175" customFormat="1" x14ac:dyDescent="0.25">
      <c r="A37" s="174" t="s">
        <v>117</v>
      </c>
      <c r="B37" s="177">
        <v>763</v>
      </c>
      <c r="C37" s="177" t="s">
        <v>100</v>
      </c>
      <c r="D37" s="177" t="s">
        <v>62</v>
      </c>
      <c r="E37" s="177" t="s">
        <v>27</v>
      </c>
      <c r="F37" s="178">
        <v>219799.3</v>
      </c>
      <c r="G37" s="178">
        <v>24763.33</v>
      </c>
      <c r="H37" s="179">
        <v>7898.98</v>
      </c>
      <c r="I37" s="179">
        <v>602.4</v>
      </c>
      <c r="J37" s="178">
        <f t="shared" si="7"/>
        <v>195035.96999999997</v>
      </c>
      <c r="K37" s="180">
        <f t="shared" si="8"/>
        <v>24.69128545710965</v>
      </c>
      <c r="L37" s="181">
        <f t="shared" si="6"/>
        <v>1.3131121996097288</v>
      </c>
      <c r="M37" s="189">
        <f t="shared" si="3"/>
        <v>0.11266337062947882</v>
      </c>
      <c r="N37" s="181">
        <f t="shared" si="9"/>
        <v>0.76326111380260719</v>
      </c>
      <c r="O37" s="182">
        <f t="shared" si="10"/>
        <v>13.112516600265604</v>
      </c>
      <c r="P37" s="183"/>
    </row>
    <row r="38" spans="1:16" s="175" customFormat="1" x14ac:dyDescent="0.25">
      <c r="A38" s="174" t="s">
        <v>117</v>
      </c>
      <c r="B38" s="177">
        <v>764</v>
      </c>
      <c r="C38" s="177" t="s">
        <v>100</v>
      </c>
      <c r="D38" s="177" t="s">
        <v>62</v>
      </c>
      <c r="E38" s="177" t="s">
        <v>27</v>
      </c>
      <c r="F38" s="178">
        <v>152814.56</v>
      </c>
      <c r="G38" s="178">
        <v>28772.29</v>
      </c>
      <c r="H38" s="179">
        <v>8254.11</v>
      </c>
      <c r="I38" s="179">
        <v>370.44</v>
      </c>
      <c r="J38" s="178">
        <f t="shared" si="7"/>
        <v>124042.26999999999</v>
      </c>
      <c r="K38" s="180">
        <f t="shared" si="8"/>
        <v>15.027940020183882</v>
      </c>
      <c r="L38" s="181">
        <f t="shared" si="6"/>
        <v>0.79920388955791155</v>
      </c>
      <c r="M38" s="189">
        <f t="shared" si="3"/>
        <v>0.18828238618100265</v>
      </c>
      <c r="N38" s="181">
        <f t="shared" si="9"/>
        <v>1.2755576456037858</v>
      </c>
      <c r="O38" s="182">
        <f t="shared" si="10"/>
        <v>22.281908001295758</v>
      </c>
      <c r="P38" s="183"/>
    </row>
    <row r="39" spans="1:16" x14ac:dyDescent="0.25">
      <c r="A39" s="174" t="s">
        <v>117</v>
      </c>
      <c r="B39" s="177">
        <v>766</v>
      </c>
      <c r="C39" s="177" t="s">
        <v>100</v>
      </c>
      <c r="D39" s="177" t="s">
        <v>62</v>
      </c>
      <c r="E39" s="177" t="s">
        <v>27</v>
      </c>
      <c r="F39" s="178">
        <v>536287</v>
      </c>
      <c r="G39" s="178">
        <v>52390.11</v>
      </c>
      <c r="H39" s="179">
        <v>14561.7</v>
      </c>
      <c r="I39" s="179">
        <v>1305.3599999999999</v>
      </c>
      <c r="J39" s="178">
        <f t="shared" si="7"/>
        <v>483896.89</v>
      </c>
      <c r="K39" s="180">
        <f t="shared" si="8"/>
        <v>33.230796541612584</v>
      </c>
      <c r="L39" s="181">
        <f t="shared" si="6"/>
        <v>1.7672536497679878</v>
      </c>
      <c r="M39" s="189">
        <f t="shared" si="3"/>
        <v>9.7690434412916971E-2</v>
      </c>
      <c r="N39" s="181">
        <f t="shared" si="9"/>
        <v>0.66182388615980003</v>
      </c>
      <c r="O39" s="182">
        <f t="shared" si="10"/>
        <v>11.15531347674205</v>
      </c>
      <c r="P39" s="183"/>
    </row>
    <row r="40" spans="1:16" x14ac:dyDescent="0.25">
      <c r="A40" s="174" t="s">
        <v>117</v>
      </c>
      <c r="B40" s="177">
        <v>768</v>
      </c>
      <c r="C40" s="177" t="s">
        <v>100</v>
      </c>
      <c r="D40" s="177" t="s">
        <v>62</v>
      </c>
      <c r="E40" s="177" t="s">
        <v>27</v>
      </c>
      <c r="F40" s="178">
        <v>991254.7</v>
      </c>
      <c r="G40" s="178">
        <v>245016.78</v>
      </c>
      <c r="H40" s="179">
        <v>57557.22</v>
      </c>
      <c r="I40" s="179">
        <v>1850.22</v>
      </c>
      <c r="J40" s="178">
        <f t="shared" si="7"/>
        <v>746237.91999999993</v>
      </c>
      <c r="K40" s="180">
        <f t="shared" si="8"/>
        <v>12.965148768477698</v>
      </c>
      <c r="L40" s="181">
        <f t="shared" si="6"/>
        <v>0.68950217465251473</v>
      </c>
      <c r="M40" s="189">
        <f t="shared" si="3"/>
        <v>0.24717842951967844</v>
      </c>
      <c r="N40" s="181">
        <f t="shared" si="9"/>
        <v>1.6745609719385133</v>
      </c>
      <c r="O40" s="182">
        <f t="shared" si="10"/>
        <v>31.108311444044492</v>
      </c>
      <c r="P40" s="183"/>
    </row>
    <row r="41" spans="1:16" x14ac:dyDescent="0.25">
      <c r="A41" s="174" t="s">
        <v>101</v>
      </c>
      <c r="B41" s="176">
        <v>774</v>
      </c>
      <c r="C41" s="176" t="s">
        <v>100</v>
      </c>
      <c r="D41" s="177" t="s">
        <v>62</v>
      </c>
      <c r="E41" s="176" t="s">
        <v>27</v>
      </c>
      <c r="F41" s="178">
        <v>842325.02</v>
      </c>
      <c r="G41" s="178">
        <v>139542.93</v>
      </c>
      <c r="H41" s="179">
        <v>62987</v>
      </c>
      <c r="I41" s="179">
        <v>4608.26</v>
      </c>
      <c r="J41" s="178">
        <f t="shared" si="7"/>
        <v>702782.09000000008</v>
      </c>
      <c r="K41" s="180">
        <f t="shared" si="8"/>
        <v>11.157573626303842</v>
      </c>
      <c r="L41" s="181">
        <f>K41/$G$57</f>
        <v>0.5933731588091401</v>
      </c>
      <c r="M41" s="189">
        <f t="shared" si="3"/>
        <v>0.1656639974911347</v>
      </c>
      <c r="N41" s="181">
        <f t="shared" si="9"/>
        <v>1.1223247319478917</v>
      </c>
      <c r="O41" s="182">
        <f t="shared" si="10"/>
        <v>13.668282605582149</v>
      </c>
      <c r="P41" s="183"/>
    </row>
    <row r="42" spans="1:16" x14ac:dyDescent="0.25">
      <c r="A42" s="174" t="s">
        <v>101</v>
      </c>
      <c r="B42" s="176">
        <v>776</v>
      </c>
      <c r="C42" s="176" t="s">
        <v>100</v>
      </c>
      <c r="D42" s="177" t="s">
        <v>62</v>
      </c>
      <c r="E42" s="176" t="s">
        <v>27</v>
      </c>
      <c r="F42" s="178">
        <v>479425.72</v>
      </c>
      <c r="G42" s="178">
        <v>52250.73</v>
      </c>
      <c r="H42" s="179">
        <v>23580</v>
      </c>
      <c r="I42" s="179">
        <v>2511.37</v>
      </c>
      <c r="J42" s="178">
        <f t="shared" si="7"/>
        <v>427174.99</v>
      </c>
      <c r="K42" s="180">
        <f t="shared" si="8"/>
        <v>18.115987701441899</v>
      </c>
      <c r="L42" s="181">
        <f>K42/$G$57</f>
        <v>0.96342997208731862</v>
      </c>
      <c r="M42" s="189">
        <f t="shared" si="3"/>
        <v>0.10898608026286118</v>
      </c>
      <c r="N42" s="181">
        <f t="shared" si="9"/>
        <v>0.73834855592937609</v>
      </c>
      <c r="O42" s="182">
        <f t="shared" si="10"/>
        <v>9.3892974750833211</v>
      </c>
      <c r="P42" s="183"/>
    </row>
    <row r="43" spans="1:16" ht="15.75" x14ac:dyDescent="0.25">
      <c r="A43" s="174" t="s">
        <v>101</v>
      </c>
      <c r="B43" s="212">
        <v>777</v>
      </c>
      <c r="C43" s="212" t="s">
        <v>100</v>
      </c>
      <c r="D43" s="177" t="s">
        <v>62</v>
      </c>
      <c r="E43" s="212" t="s">
        <v>27</v>
      </c>
      <c r="F43" s="178">
        <v>466052.19</v>
      </c>
      <c r="G43" s="178">
        <v>44096.08</v>
      </c>
      <c r="H43" s="179">
        <v>19367</v>
      </c>
      <c r="I43" s="179">
        <v>2460.91</v>
      </c>
      <c r="J43" s="178">
        <f t="shared" si="7"/>
        <v>421956.11</v>
      </c>
      <c r="K43" s="180">
        <f t="shared" si="8"/>
        <v>21.787375948778848</v>
      </c>
      <c r="L43" s="181">
        <f>K43/$G$57</f>
        <v>1.1586788061529334</v>
      </c>
      <c r="M43" s="189">
        <f t="shared" si="3"/>
        <v>9.4616184509292836E-2</v>
      </c>
      <c r="N43" s="181">
        <f t="shared" si="9"/>
        <v>0.64099674959857811</v>
      </c>
      <c r="O43" s="182">
        <f t="shared" si="10"/>
        <v>7.8698530218496412</v>
      </c>
      <c r="P43" s="183"/>
    </row>
    <row r="44" spans="1:16" x14ac:dyDescent="0.25">
      <c r="A44" s="174" t="s">
        <v>9</v>
      </c>
      <c r="B44" s="176">
        <v>781</v>
      </c>
      <c r="C44" s="176" t="s">
        <v>100</v>
      </c>
      <c r="D44" s="177" t="s">
        <v>62</v>
      </c>
      <c r="E44" s="176" t="s">
        <v>27</v>
      </c>
      <c r="F44" s="178">
        <v>1425541</v>
      </c>
      <c r="G44" s="178">
        <v>352439</v>
      </c>
      <c r="H44" s="179">
        <v>118405</v>
      </c>
      <c r="I44" s="179">
        <v>4730</v>
      </c>
      <c r="J44" s="178">
        <f t="shared" si="7"/>
        <v>1073102</v>
      </c>
      <c r="K44" s="180">
        <f t="shared" si="8"/>
        <v>9.0629787593429327</v>
      </c>
      <c r="L44" s="181">
        <f>+IF(E44="Weekdays",K44/$G$57,IF(E44="Saturdays",K44/$G$58,IF(E44="Sundays",K44/$G$59,"NA")))</f>
        <v>0.48198008946797621</v>
      </c>
      <c r="M44" s="189">
        <f>(G44/F44)</f>
        <v>0.24723175271703865</v>
      </c>
      <c r="N44" s="181">
        <f t="shared" si="9"/>
        <v>1.6749222208766665</v>
      </c>
      <c r="O44" s="182">
        <f t="shared" si="10"/>
        <v>25.032769556025372</v>
      </c>
      <c r="P44" s="183"/>
    </row>
    <row r="45" spans="1:16" x14ac:dyDescent="0.25">
      <c r="A45" s="174" t="s">
        <v>9</v>
      </c>
      <c r="B45" s="176">
        <v>784</v>
      </c>
      <c r="C45" s="176" t="s">
        <v>100</v>
      </c>
      <c r="D45" s="177" t="s">
        <v>62</v>
      </c>
      <c r="E45" s="176" t="s">
        <v>27</v>
      </c>
      <c r="F45" s="178">
        <v>435187</v>
      </c>
      <c r="G45" s="178">
        <v>59076</v>
      </c>
      <c r="H45" s="179">
        <v>19847</v>
      </c>
      <c r="I45" s="179">
        <v>1601</v>
      </c>
      <c r="J45" s="178">
        <f t="shared" si="7"/>
        <v>376111</v>
      </c>
      <c r="K45" s="180">
        <f t="shared" si="8"/>
        <v>18.950521489393864</v>
      </c>
      <c r="L45" s="181">
        <f>+IF(E45="Weekdays",K45/$G$57,IF(E45="Saturdays",K45/$G$58,IF(E45="Sundays",K45/$G$59,"NA")))</f>
        <v>1.0078114806908209</v>
      </c>
      <c r="M45" s="189">
        <f t="shared" ref="M45:M53" si="11">G45/F45</f>
        <v>0.13574854028268307</v>
      </c>
      <c r="N45" s="181">
        <f t="shared" si="9"/>
        <v>0.91965633084057929</v>
      </c>
      <c r="O45" s="182">
        <f t="shared" si="10"/>
        <v>12.396627108057464</v>
      </c>
      <c r="P45" s="183"/>
    </row>
    <row r="46" spans="1:16" x14ac:dyDescent="0.25">
      <c r="A46" s="174" t="s">
        <v>9</v>
      </c>
      <c r="B46" s="176">
        <v>785</v>
      </c>
      <c r="C46" s="176" t="s">
        <v>100</v>
      </c>
      <c r="D46" s="177" t="s">
        <v>62</v>
      </c>
      <c r="E46" s="176" t="s">
        <v>27</v>
      </c>
      <c r="F46" s="178">
        <v>538432</v>
      </c>
      <c r="G46" s="178">
        <v>128340</v>
      </c>
      <c r="H46" s="179">
        <v>43117</v>
      </c>
      <c r="I46" s="179">
        <v>1802</v>
      </c>
      <c r="J46" s="178">
        <f t="shared" si="7"/>
        <v>410092</v>
      </c>
      <c r="K46" s="180">
        <f t="shared" si="8"/>
        <v>9.5111440962961247</v>
      </c>
      <c r="L46" s="181">
        <f>+IF(E46="Weekdays",K46/$G$57,IF(E46="Saturdays",K46/$G$58,IF(E46="Sundays",K46/$G$59,"NA")))</f>
        <v>0.50581406005722274</v>
      </c>
      <c r="M46" s="189">
        <f t="shared" si="11"/>
        <v>0.2383587899679068</v>
      </c>
      <c r="N46" s="181">
        <f t="shared" si="9"/>
        <v>1.6148105147134977</v>
      </c>
      <c r="O46" s="182">
        <f t="shared" si="10"/>
        <v>23.927302996670367</v>
      </c>
      <c r="P46" s="183"/>
    </row>
    <row r="47" spans="1:16" x14ac:dyDescent="0.25">
      <c r="A47" s="174" t="s">
        <v>9</v>
      </c>
      <c r="B47" s="176">
        <v>789</v>
      </c>
      <c r="C47" s="176" t="s">
        <v>100</v>
      </c>
      <c r="D47" s="177" t="s">
        <v>62</v>
      </c>
      <c r="E47" s="176" t="s">
        <v>27</v>
      </c>
      <c r="F47" s="178">
        <v>191977</v>
      </c>
      <c r="G47" s="178">
        <v>58582</v>
      </c>
      <c r="H47" s="179">
        <v>19681</v>
      </c>
      <c r="I47" s="179">
        <v>601</v>
      </c>
      <c r="J47" s="178">
        <f t="shared" si="7"/>
        <v>133395</v>
      </c>
      <c r="K47" s="180">
        <f t="shared" si="8"/>
        <v>6.7778568162186881</v>
      </c>
      <c r="L47" s="181">
        <f>+IF(E47="Weekdays",K47/$G$57,IF(E47="Saturdays",K47/$G$58,IF(E47="Sundays",K47/$G$59,"NA")))</f>
        <v>0.36045456151097266</v>
      </c>
      <c r="M47" s="189">
        <f t="shared" si="11"/>
        <v>0.30515113789672721</v>
      </c>
      <c r="N47" s="181">
        <f t="shared" si="9"/>
        <v>2.067308976181538</v>
      </c>
      <c r="O47" s="182">
        <f t="shared" si="10"/>
        <v>32.747088186356073</v>
      </c>
      <c r="P47" s="183"/>
    </row>
    <row r="48" spans="1:16" ht="15.75" x14ac:dyDescent="0.25">
      <c r="A48" s="174" t="s">
        <v>101</v>
      </c>
      <c r="B48" s="212">
        <v>790</v>
      </c>
      <c r="C48" s="212" t="s">
        <v>100</v>
      </c>
      <c r="D48" s="177" t="s">
        <v>62</v>
      </c>
      <c r="E48" s="212" t="s">
        <v>27</v>
      </c>
      <c r="F48" s="178">
        <v>521097.96</v>
      </c>
      <c r="G48" s="178">
        <v>40882.15</v>
      </c>
      <c r="H48" s="179">
        <v>19109</v>
      </c>
      <c r="I48" s="179">
        <v>2795.34</v>
      </c>
      <c r="J48" s="178">
        <f t="shared" si="7"/>
        <v>480215.81</v>
      </c>
      <c r="K48" s="180">
        <f t="shared" si="8"/>
        <v>25.130347480244911</v>
      </c>
      <c r="L48" s="181">
        <f>K48/$G$57</f>
        <v>1.3364620450426741</v>
      </c>
      <c r="M48" s="189">
        <f t="shared" si="11"/>
        <v>7.8453866908248876E-2</v>
      </c>
      <c r="N48" s="181">
        <f t="shared" si="9"/>
        <v>0.53150181380108197</v>
      </c>
      <c r="O48" s="182">
        <f t="shared" si="10"/>
        <v>6.8360199474840266</v>
      </c>
      <c r="P48" s="183"/>
    </row>
    <row r="49" spans="1:16" ht="15.75" x14ac:dyDescent="0.25">
      <c r="A49" s="174" t="s">
        <v>101</v>
      </c>
      <c r="B49" s="212">
        <v>795</v>
      </c>
      <c r="C49" s="212" t="s">
        <v>100</v>
      </c>
      <c r="D49" s="177" t="s">
        <v>62</v>
      </c>
      <c r="E49" s="212" t="s">
        <v>27</v>
      </c>
      <c r="F49" s="178">
        <v>130652.1</v>
      </c>
      <c r="G49" s="178">
        <v>11733.79</v>
      </c>
      <c r="H49" s="179">
        <v>5020</v>
      </c>
      <c r="I49" s="179">
        <v>505.05</v>
      </c>
      <c r="J49" s="178">
        <f t="shared" si="7"/>
        <v>118918.31</v>
      </c>
      <c r="K49" s="180">
        <f t="shared" si="8"/>
        <v>23.688906374501993</v>
      </c>
      <c r="L49" s="181">
        <f>K49/$G$57</f>
        <v>1.2598044767577894</v>
      </c>
      <c r="M49" s="189">
        <f t="shared" si="11"/>
        <v>8.9809425183368666E-2</v>
      </c>
      <c r="N49" s="181">
        <f t="shared" si="9"/>
        <v>0.60843237258422678</v>
      </c>
      <c r="O49" s="182">
        <f t="shared" si="10"/>
        <v>9.9396099396099391</v>
      </c>
      <c r="P49" s="183"/>
    </row>
    <row r="50" spans="1:16" x14ac:dyDescent="0.25">
      <c r="A50" s="174" t="s">
        <v>117</v>
      </c>
      <c r="B50" s="177">
        <v>824</v>
      </c>
      <c r="C50" s="177" t="s">
        <v>100</v>
      </c>
      <c r="D50" s="177" t="s">
        <v>62</v>
      </c>
      <c r="E50" s="177" t="s">
        <v>27</v>
      </c>
      <c r="F50" s="178">
        <v>137990.85999999999</v>
      </c>
      <c r="G50" s="178">
        <v>19877.32</v>
      </c>
      <c r="H50" s="179">
        <v>8610.2900000000009</v>
      </c>
      <c r="I50" s="179">
        <v>370.44</v>
      </c>
      <c r="J50" s="178">
        <f t="shared" si="7"/>
        <v>118113.53999999998</v>
      </c>
      <c r="K50" s="180">
        <f t="shared" si="8"/>
        <v>13.71771914767098</v>
      </c>
      <c r="L50" s="181">
        <f>+IF(E50="Weekdays",K50/$G$57,IF(E50="Saturdays",K50/$G$58,IF(E50="Sundays",K50/$G$59,"NA")))</f>
        <v>0.7295247707907434</v>
      </c>
      <c r="M50" s="189">
        <f t="shared" si="11"/>
        <v>0.14404809130111954</v>
      </c>
      <c r="N50" s="181">
        <f t="shared" si="9"/>
        <v>0.97588334161612822</v>
      </c>
      <c r="O50" s="182">
        <f t="shared" si="10"/>
        <v>23.243413238311199</v>
      </c>
      <c r="P50" s="183"/>
    </row>
    <row r="51" spans="1:16" x14ac:dyDescent="0.25">
      <c r="A51" s="174" t="s">
        <v>117</v>
      </c>
      <c r="B51" s="177">
        <v>850</v>
      </c>
      <c r="C51" s="177" t="s">
        <v>100</v>
      </c>
      <c r="D51" s="177" t="s">
        <v>62</v>
      </c>
      <c r="E51" s="177" t="s">
        <v>27</v>
      </c>
      <c r="F51" s="178">
        <v>1726253.64</v>
      </c>
      <c r="G51" s="178">
        <v>361862.52</v>
      </c>
      <c r="H51" s="179">
        <v>86693.04</v>
      </c>
      <c r="I51" s="179">
        <v>3540.64</v>
      </c>
      <c r="J51" s="178">
        <f t="shared" si="7"/>
        <v>1364391.1199999999</v>
      </c>
      <c r="K51" s="180">
        <f t="shared" si="8"/>
        <v>15.738185210715878</v>
      </c>
      <c r="L51" s="181">
        <f>+IF(E51="Weekdays",K51/$G$57,IF(E51="Saturdays",K51/$G$58,IF(E51="Sundays",K51/$G$59,"NA")))</f>
        <v>0.83697558135669381</v>
      </c>
      <c r="M51" s="189">
        <f t="shared" si="11"/>
        <v>0.20962303083108924</v>
      </c>
      <c r="N51" s="181">
        <f t="shared" si="9"/>
        <v>1.4201342201717473</v>
      </c>
      <c r="O51" s="182">
        <f t="shared" si="10"/>
        <v>24.485132631388673</v>
      </c>
      <c r="P51" s="183"/>
    </row>
    <row r="52" spans="1:16" x14ac:dyDescent="0.25">
      <c r="A52" s="174" t="s">
        <v>117</v>
      </c>
      <c r="B52" s="176">
        <v>852</v>
      </c>
      <c r="C52" s="176" t="s">
        <v>100</v>
      </c>
      <c r="D52" s="177" t="s">
        <v>62</v>
      </c>
      <c r="E52" s="176" t="s">
        <v>27</v>
      </c>
      <c r="F52" s="178">
        <v>746775</v>
      </c>
      <c r="G52" s="178">
        <v>124542.01</v>
      </c>
      <c r="H52" s="179">
        <v>68711</v>
      </c>
      <c r="I52" s="179">
        <v>7789.82</v>
      </c>
      <c r="J52" s="178">
        <f t="shared" si="7"/>
        <v>622232.99</v>
      </c>
      <c r="K52" s="180">
        <f t="shared" si="8"/>
        <v>9.0557987803990621</v>
      </c>
      <c r="L52" s="181">
        <f>+IF(E52="Weekdays",K52/$G$57,IF(E52="Saturdays",K52/$G$58,IF(E52="Sundays",K52/$G$59,"NA")))</f>
        <v>0.48159824956901609</v>
      </c>
      <c r="M52" s="189">
        <f t="shared" si="11"/>
        <v>0.16677313782598507</v>
      </c>
      <c r="N52" s="181">
        <f t="shared" si="9"/>
        <v>1.1298388306528331</v>
      </c>
      <c r="O52" s="182">
        <f t="shared" si="10"/>
        <v>8.8206145969996737</v>
      </c>
      <c r="P52" s="183"/>
    </row>
    <row r="53" spans="1:16" ht="15.75" thickBot="1" x14ac:dyDescent="0.3">
      <c r="A53" s="194" t="s">
        <v>117</v>
      </c>
      <c r="B53" s="197">
        <v>852</v>
      </c>
      <c r="C53" s="197" t="s">
        <v>100</v>
      </c>
      <c r="D53" s="196" t="s">
        <v>62</v>
      </c>
      <c r="E53" s="197" t="s">
        <v>59</v>
      </c>
      <c r="F53" s="213">
        <v>72828</v>
      </c>
      <c r="G53" s="213">
        <v>7320.21</v>
      </c>
      <c r="H53" s="214">
        <v>5235</v>
      </c>
      <c r="I53" s="214">
        <v>713.31</v>
      </c>
      <c r="J53" s="213">
        <f t="shared" si="7"/>
        <v>65507.79</v>
      </c>
      <c r="K53" s="206">
        <f t="shared" si="8"/>
        <v>12.513426934097421</v>
      </c>
      <c r="L53" s="201">
        <f>+IF(E53="Weekdays",K53/$G$57,IF(E53="Saturdays",K53/$G$58,IF(E53="Sundays",K53/$G$59,"NA")))</f>
        <v>1</v>
      </c>
      <c r="M53" s="222">
        <f t="shared" si="11"/>
        <v>0.10051367605865875</v>
      </c>
      <c r="N53" s="201">
        <f t="shared" si="9"/>
        <v>1</v>
      </c>
      <c r="O53" s="218">
        <f t="shared" si="10"/>
        <v>7.3390251082979354</v>
      </c>
      <c r="P53" s="219"/>
    </row>
    <row r="54" spans="1:16" ht="15.75" thickTop="1" x14ac:dyDescent="0.25">
      <c r="F54" s="3"/>
      <c r="G54" s="3"/>
      <c r="H54" s="4"/>
      <c r="I54" s="4"/>
      <c r="J54" s="11"/>
      <c r="K54" s="4"/>
      <c r="L54" s="7"/>
      <c r="M54" s="7"/>
      <c r="N54" s="7"/>
    </row>
    <row r="55" spans="1:16" ht="15.75" thickBot="1" x14ac:dyDescent="0.3">
      <c r="E55" s="334" t="s">
        <v>87</v>
      </c>
      <c r="F55" s="334"/>
      <c r="G55" s="334"/>
      <c r="H55" s="334"/>
      <c r="I55" s="334"/>
      <c r="J55" s="334"/>
      <c r="K55" s="334"/>
    </row>
    <row r="56" spans="1:16" ht="36" x14ac:dyDescent="0.25">
      <c r="E56" s="48" t="s">
        <v>57</v>
      </c>
      <c r="F56" s="48" t="s">
        <v>38</v>
      </c>
      <c r="G56" s="49" t="s">
        <v>39</v>
      </c>
      <c r="H56" s="49" t="s">
        <v>40</v>
      </c>
      <c r="I56" s="49" t="s">
        <v>41</v>
      </c>
      <c r="J56" s="50" t="s">
        <v>42</v>
      </c>
      <c r="K56" s="51" t="s">
        <v>56</v>
      </c>
    </row>
    <row r="57" spans="1:16" x14ac:dyDescent="0.25">
      <c r="E57" s="52">
        <f>COUNTIF(E4:E53, "Weekdays")</f>
        <v>49</v>
      </c>
      <c r="F57" s="53" t="s">
        <v>27</v>
      </c>
      <c r="G57" s="54">
        <f>AVERAGEIF($E$4:$E$53,"Weekdays",$K$4:$K$53)</f>
        <v>18.803637240175036</v>
      </c>
      <c r="H57" s="55">
        <f>G57*1.2</f>
        <v>22.564364688210041</v>
      </c>
      <c r="I57" s="56">
        <f>G57*1.35</f>
        <v>25.384910274236301</v>
      </c>
      <c r="J57" s="57">
        <f>G57*1.6</f>
        <v>30.08581958428006</v>
      </c>
      <c r="K57" s="58">
        <f>+SUMIF($E$4:$E$53,"Weekdays",$J$4:$J$53)/SUMIF($E$4:$E$53,"Weekdays",$H$4:$H$53)</f>
        <v>14.1651212211041</v>
      </c>
    </row>
    <row r="58" spans="1:16" x14ac:dyDescent="0.25">
      <c r="E58" s="52">
        <f>COUNTIF(E4:E53, "Saturdays")</f>
        <v>1</v>
      </c>
      <c r="F58" s="59" t="s">
        <v>59</v>
      </c>
      <c r="G58" s="60">
        <f>AVERAGEIF($E$4:$E$53,"Saturdays",$K$4:$K$53)</f>
        <v>12.513426934097421</v>
      </c>
      <c r="H58" s="61">
        <f>G58*1.2</f>
        <v>15.016112320916903</v>
      </c>
      <c r="I58" s="62">
        <f>G58*1.35</f>
        <v>16.89312636103152</v>
      </c>
      <c r="J58" s="63">
        <f>G58*1.6</f>
        <v>20.021483094555876</v>
      </c>
      <c r="K58" s="58">
        <f>+SUMIF($E$4:$E$53,"Saturdays",$J$4:$J$53)/SUMIF($E$4:$E$53,"Saturdays",$H$4:$H$53)</f>
        <v>12.513426934097421</v>
      </c>
      <c r="O58" s="6"/>
      <c r="P58"/>
    </row>
    <row r="59" spans="1:16" ht="15.75" thickBot="1" x14ac:dyDescent="0.3">
      <c r="E59" s="64">
        <f>COUNTIF(E4:E53, "Sundays")</f>
        <v>0</v>
      </c>
      <c r="F59" s="65" t="s">
        <v>60</v>
      </c>
      <c r="G59" s="66" t="e">
        <f>AVERAGEIF($E$4:$E$53,"Sundays",$K$4:$K$53)</f>
        <v>#DIV/0!</v>
      </c>
      <c r="H59" s="67" t="e">
        <f>G59*1.2</f>
        <v>#DIV/0!</v>
      </c>
      <c r="I59" s="68" t="e">
        <f>G59*1.35</f>
        <v>#DIV/0!</v>
      </c>
      <c r="J59" s="323" t="e">
        <f>G59*1.6</f>
        <v>#DIV/0!</v>
      </c>
      <c r="K59" s="58" t="e">
        <f>+SUMIF($E$4:$E$53,"Sundays",$J$4:$J$53)/SUMIF($E$4:$E$53,"Sundays",$H$4:$H$53)</f>
        <v>#DIV/0!</v>
      </c>
      <c r="O59" s="6"/>
      <c r="P59"/>
    </row>
    <row r="60" spans="1:16" ht="15.75" thickBot="1" x14ac:dyDescent="0.3">
      <c r="E60" s="21"/>
      <c r="F60" s="70" t="s">
        <v>81</v>
      </c>
      <c r="G60" s="71">
        <v>20</v>
      </c>
      <c r="H60" s="72"/>
      <c r="I60" s="72"/>
      <c r="J60" s="73"/>
      <c r="K60" s="74">
        <f>+SUM($J$4:$J$53)/SUM($H$4:$H$53)</f>
        <v>14.161041256088458</v>
      </c>
      <c r="O60" s="6"/>
      <c r="P60"/>
    </row>
    <row r="61" spans="1:16" ht="15.75" thickBot="1" x14ac:dyDescent="0.3">
      <c r="E61" s="334" t="s">
        <v>86</v>
      </c>
      <c r="F61" s="334"/>
      <c r="G61" s="334"/>
      <c r="H61" s="334"/>
      <c r="I61" s="334"/>
      <c r="J61" s="334"/>
      <c r="K61" s="334"/>
      <c r="O61" s="6"/>
      <c r="P61"/>
    </row>
    <row r="62" spans="1:16" ht="48" x14ac:dyDescent="0.25">
      <c r="E62" s="48" t="s">
        <v>57</v>
      </c>
      <c r="F62" s="48" t="s">
        <v>86</v>
      </c>
      <c r="G62" s="49" t="s">
        <v>39</v>
      </c>
      <c r="H62" s="49" t="s">
        <v>40</v>
      </c>
      <c r="I62" s="49" t="s">
        <v>41</v>
      </c>
      <c r="J62" s="50" t="s">
        <v>42</v>
      </c>
      <c r="K62" s="51" t="s">
        <v>102</v>
      </c>
      <c r="O62" s="6"/>
      <c r="P62"/>
    </row>
    <row r="63" spans="1:16" x14ac:dyDescent="0.25">
      <c r="E63" s="52">
        <f>COUNTIF(E4:E53, "Weekdays")</f>
        <v>49</v>
      </c>
      <c r="F63" s="53" t="s">
        <v>27</v>
      </c>
      <c r="G63" s="122">
        <f>AVERAGEIF($E$4:$E$53,"Weekdays",$M$4:$M$53)</f>
        <v>0.14760790061501228</v>
      </c>
      <c r="H63" s="123">
        <f>G63*0.8</f>
        <v>0.11808632049200983</v>
      </c>
      <c r="I63" s="124">
        <f>G63*0.65</f>
        <v>9.5945135399757978E-2</v>
      </c>
      <c r="J63" s="125">
        <f>G63*0.4</f>
        <v>5.9043160246004915E-2</v>
      </c>
      <c r="K63" s="130">
        <f>+SUMIF($E$4:$E$53,"Weekdays",$G$4:$G$53)/SUMIF($E$4:$E$53,"Weekdays",$F$4:$F$53)</f>
        <v>0.15827026828851973</v>
      </c>
      <c r="O63" s="6"/>
      <c r="P63"/>
    </row>
    <row r="64" spans="1:16" x14ac:dyDescent="0.25">
      <c r="E64" s="52">
        <f>COUNTIF(E4:E53, "Saturdays")</f>
        <v>1</v>
      </c>
      <c r="F64" s="59" t="s">
        <v>59</v>
      </c>
      <c r="G64" s="126">
        <f>AVERAGEIF($E$4:$E$53,"Saturdays",$M$4:$M$53)</f>
        <v>0.10051367605865875</v>
      </c>
      <c r="H64" s="127">
        <f>G64*0.8</f>
        <v>8.0410940846927015E-2</v>
      </c>
      <c r="I64" s="128">
        <f>G64*0.65</f>
        <v>6.5333889438128193E-2</v>
      </c>
      <c r="J64" s="129">
        <f>G64*0.4</f>
        <v>4.0205470423463507E-2</v>
      </c>
      <c r="K64" s="121">
        <f>+SUMIF($E$4:$E$53,"Saturdays",$G$4:$G$53)/SUMIF($E$4:$E$53,"Saturdays",$F$4:$F$53)</f>
        <v>0.10051367605865875</v>
      </c>
      <c r="O64" s="6"/>
      <c r="P64"/>
    </row>
    <row r="65" spans="5:16" ht="15.75" thickBot="1" x14ac:dyDescent="0.3">
      <c r="E65" s="64">
        <f>COUNTIF(E4:E53, "Sundays")</f>
        <v>0</v>
      </c>
      <c r="F65" s="65" t="s">
        <v>60</v>
      </c>
      <c r="G65" s="66"/>
      <c r="H65" s="67"/>
      <c r="I65" s="68"/>
      <c r="J65" s="69"/>
      <c r="K65" s="58"/>
      <c r="O65" s="6"/>
      <c r="P65"/>
    </row>
    <row r="66" spans="5:16" ht="15.75" thickBot="1" x14ac:dyDescent="0.3">
      <c r="E66" s="43"/>
      <c r="F66" s="84" t="s">
        <v>89</v>
      </c>
      <c r="G66" s="132">
        <f>AVERAGE(M4:M53)</f>
        <v>0.14666601612388519</v>
      </c>
      <c r="H66" s="133">
        <f>G66*0.8</f>
        <v>0.11733281289910816</v>
      </c>
      <c r="I66" s="134">
        <f>G66*0.65</f>
        <v>9.5332910480525376E-2</v>
      </c>
      <c r="J66" s="135">
        <f>G66*0.4</f>
        <v>5.8666406449554079E-2</v>
      </c>
      <c r="K66" s="131">
        <f>+SUM($G$4:$G$53)/SUM($F$4:$F$53)</f>
        <v>0.15815227742369459</v>
      </c>
      <c r="O66" s="6"/>
      <c r="P66"/>
    </row>
    <row r="67" spans="5:16" x14ac:dyDescent="0.25">
      <c r="O67" s="6"/>
      <c r="P67"/>
    </row>
    <row r="68" spans="5:16" x14ac:dyDescent="0.25">
      <c r="O68" s="6"/>
      <c r="P68"/>
    </row>
    <row r="69" spans="5:16" x14ac:dyDescent="0.25">
      <c r="O69" s="6"/>
      <c r="P69"/>
    </row>
    <row r="70" spans="5:16" x14ac:dyDescent="0.25">
      <c r="O70" s="6"/>
      <c r="P70"/>
    </row>
    <row r="71" spans="5:16" x14ac:dyDescent="0.25">
      <c r="O71" s="6"/>
      <c r="P71"/>
    </row>
    <row r="72" spans="5:16" x14ac:dyDescent="0.25">
      <c r="O72" s="6"/>
      <c r="P72"/>
    </row>
    <row r="73" spans="5:16" x14ac:dyDescent="0.25">
      <c r="O73" s="6"/>
      <c r="P73"/>
    </row>
    <row r="74" spans="5:16" x14ac:dyDescent="0.25">
      <c r="O74" s="6"/>
      <c r="P74"/>
    </row>
    <row r="75" spans="5:16" x14ac:dyDescent="0.25">
      <c r="O75" s="6"/>
      <c r="P75"/>
    </row>
    <row r="76" spans="5:16" x14ac:dyDescent="0.25">
      <c r="O76" s="6"/>
      <c r="P76"/>
    </row>
    <row r="77" spans="5:16" x14ac:dyDescent="0.25">
      <c r="O77" s="6"/>
      <c r="P77"/>
    </row>
    <row r="78" spans="5:16" x14ac:dyDescent="0.25">
      <c r="O78" s="6"/>
      <c r="P78"/>
    </row>
    <row r="79" spans="5:16" x14ac:dyDescent="0.25">
      <c r="O79" s="6"/>
      <c r="P79"/>
    </row>
    <row r="80" spans="5:16" x14ac:dyDescent="0.25">
      <c r="O80" s="6"/>
      <c r="P80"/>
    </row>
    <row r="81" spans="15:16" x14ac:dyDescent="0.25">
      <c r="O81" s="6"/>
      <c r="P81"/>
    </row>
    <row r="82" spans="15:16" x14ac:dyDescent="0.25">
      <c r="O82" s="6"/>
      <c r="P82"/>
    </row>
    <row r="83" spans="15:16" x14ac:dyDescent="0.25">
      <c r="O83" s="6"/>
      <c r="P83"/>
    </row>
    <row r="84" spans="15:16" x14ac:dyDescent="0.25">
      <c r="O84" s="6"/>
      <c r="P84"/>
    </row>
    <row r="85" spans="15:16" x14ac:dyDescent="0.25">
      <c r="O85" s="6"/>
      <c r="P85"/>
    </row>
    <row r="86" spans="15:16" x14ac:dyDescent="0.25">
      <c r="O86" s="6"/>
      <c r="P86"/>
    </row>
    <row r="87" spans="15:16" x14ac:dyDescent="0.25">
      <c r="O87" s="6"/>
      <c r="P87"/>
    </row>
    <row r="88" spans="15:16" x14ac:dyDescent="0.25">
      <c r="O88" s="6"/>
      <c r="P88"/>
    </row>
    <row r="89" spans="15:16" x14ac:dyDescent="0.25">
      <c r="O89" s="6"/>
      <c r="P89"/>
    </row>
    <row r="90" spans="15:16" x14ac:dyDescent="0.25">
      <c r="O90" s="6"/>
      <c r="P90"/>
    </row>
    <row r="91" spans="15:16" x14ac:dyDescent="0.25">
      <c r="O91" s="6"/>
      <c r="P91"/>
    </row>
    <row r="92" spans="15:16" x14ac:dyDescent="0.25">
      <c r="O92" s="6"/>
      <c r="P92"/>
    </row>
    <row r="93" spans="15:16" x14ac:dyDescent="0.25">
      <c r="O93" s="6"/>
      <c r="P93"/>
    </row>
    <row r="94" spans="15:16" x14ac:dyDescent="0.25">
      <c r="O94" s="6"/>
      <c r="P94"/>
    </row>
    <row r="95" spans="15:16" x14ac:dyDescent="0.25">
      <c r="O95" s="6"/>
      <c r="P95"/>
    </row>
    <row r="96" spans="15:16" x14ac:dyDescent="0.25">
      <c r="O96" s="6"/>
      <c r="P96"/>
    </row>
    <row r="97" spans="15:16" x14ac:dyDescent="0.25">
      <c r="O97" s="6"/>
      <c r="P97"/>
    </row>
    <row r="98" spans="15:16" x14ac:dyDescent="0.25">
      <c r="O98" s="6"/>
      <c r="P98"/>
    </row>
    <row r="99" spans="15:16" x14ac:dyDescent="0.25">
      <c r="O99" s="6"/>
      <c r="P99"/>
    </row>
    <row r="100" spans="15:16" x14ac:dyDescent="0.25">
      <c r="O100" s="6"/>
      <c r="P100"/>
    </row>
    <row r="101" spans="15:16" x14ac:dyDescent="0.25">
      <c r="O101" s="6"/>
      <c r="P101"/>
    </row>
    <row r="102" spans="15:16" x14ac:dyDescent="0.25">
      <c r="O102" s="6"/>
      <c r="P102"/>
    </row>
    <row r="103" spans="15:16" x14ac:dyDescent="0.25">
      <c r="O103" s="6"/>
      <c r="P103"/>
    </row>
    <row r="104" spans="15:16" x14ac:dyDescent="0.25">
      <c r="O104" s="6"/>
      <c r="P104"/>
    </row>
    <row r="105" spans="15:16" x14ac:dyDescent="0.25">
      <c r="O105" s="6"/>
      <c r="P105"/>
    </row>
    <row r="106" spans="15:16" x14ac:dyDescent="0.25">
      <c r="O106" s="6"/>
      <c r="P106"/>
    </row>
  </sheetData>
  <autoFilter ref="A3:P53" xr:uid="{6D0430F2-5540-4846-ADF8-D32AEEFA229B}">
    <sortState xmlns:xlrd2="http://schemas.microsoft.com/office/spreadsheetml/2017/richdata2" ref="A4:P53">
      <sortCondition ref="B3:B53"/>
    </sortState>
  </autoFilter>
  <sortState xmlns:xlrd2="http://schemas.microsoft.com/office/spreadsheetml/2017/richdata2" ref="A4:P53">
    <sortCondition ref="E4:E53" customList="Weekday,Wk,Saturday,Sat,Sunday,Sun,Sunday/Holiday,Sunday / Holiday,Reduced"/>
    <sortCondition ref="B4:B53"/>
  </sortState>
  <mergeCells count="3">
    <mergeCell ref="A2:O2"/>
    <mergeCell ref="E55:K55"/>
    <mergeCell ref="E61:K61"/>
  </mergeCells>
  <conditionalFormatting sqref="L4:L53">
    <cfRule type="cellIs" dxfId="73" priority="1" operator="greaterThan">
      <formula>1.6</formula>
    </cfRule>
    <cfRule type="cellIs" dxfId="72" priority="2" operator="between">
      <formula>1.35</formula>
      <formula>1.6</formula>
    </cfRule>
    <cfRule type="cellIs" dxfId="71" priority="3" operator="between">
      <formula>1.2</formula>
      <formula>1.35</formula>
    </cfRule>
  </conditionalFormatting>
  <conditionalFormatting sqref="N4:N53">
    <cfRule type="cellIs" dxfId="70" priority="11" operator="lessThan">
      <formula>0.4</formula>
    </cfRule>
  </conditionalFormatting>
  <conditionalFormatting sqref="N4:N54">
    <cfRule type="cellIs" dxfId="69" priority="12" operator="between">
      <formula>0.65</formula>
      <formula>0.4</formula>
    </cfRule>
    <cfRule type="cellIs" dxfId="68" priority="13" operator="between">
      <formula>0.8</formula>
      <formula>0.65</formula>
    </cfRule>
  </conditionalFormatting>
  <conditionalFormatting sqref="O4:O53">
    <cfRule type="cellIs" dxfId="67" priority="10" operator="lessThan">
      <formula>20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4C8AD-8639-43A9-8303-D920001D09D9}">
  <dimension ref="A1:P23"/>
  <sheetViews>
    <sheetView workbookViewId="0">
      <selection activeCell="E15" sqref="E15"/>
    </sheetView>
  </sheetViews>
  <sheetFormatPr defaultRowHeight="15" x14ac:dyDescent="0.25"/>
  <cols>
    <col min="1" max="1" width="20.7109375" customWidth="1"/>
    <col min="2" max="2" width="9.28515625" customWidth="1"/>
    <col min="3" max="3" width="14.42578125" bestFit="1" customWidth="1"/>
    <col min="4" max="4" width="18.85546875" customWidth="1"/>
    <col min="5" max="5" width="10.7109375" customWidth="1"/>
    <col min="6" max="6" width="12.140625" customWidth="1"/>
    <col min="7" max="7" width="11.42578125" customWidth="1"/>
    <col min="8" max="8" width="13.85546875" bestFit="1" customWidth="1"/>
    <col min="9" max="9" width="11.7109375" customWidth="1"/>
    <col min="10" max="10" width="12.42578125" customWidth="1"/>
    <col min="11" max="11" width="11.7109375" customWidth="1"/>
    <col min="12" max="12" width="14.140625" customWidth="1"/>
    <col min="13" max="13" width="12.42578125" customWidth="1"/>
    <col min="14" max="14" width="35.7109375" customWidth="1"/>
  </cols>
  <sheetData>
    <row r="1" spans="1:16" ht="22.5" x14ac:dyDescent="0.45">
      <c r="A1" s="13" t="s">
        <v>52</v>
      </c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6" ht="37.5" thickBot="1" x14ac:dyDescent="0.75">
      <c r="A2" s="333" t="s">
        <v>98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</row>
    <row r="3" spans="1:16" ht="45.75" thickBot="1" x14ac:dyDescent="0.3">
      <c r="A3" s="167" t="s">
        <v>7</v>
      </c>
      <c r="B3" s="157" t="s">
        <v>65</v>
      </c>
      <c r="C3" s="168" t="s">
        <v>66</v>
      </c>
      <c r="D3" s="159" t="s">
        <v>0</v>
      </c>
      <c r="E3" s="159" t="s">
        <v>1</v>
      </c>
      <c r="F3" s="169" t="s">
        <v>2</v>
      </c>
      <c r="G3" s="160" t="s">
        <v>32</v>
      </c>
      <c r="H3" s="161" t="s">
        <v>34</v>
      </c>
      <c r="I3" s="161" t="s">
        <v>73</v>
      </c>
      <c r="J3" s="169" t="s">
        <v>33</v>
      </c>
      <c r="K3" s="162" t="s">
        <v>13</v>
      </c>
      <c r="L3" s="163" t="s">
        <v>64</v>
      </c>
      <c r="M3" s="163" t="s">
        <v>36</v>
      </c>
      <c r="N3" s="170" t="s">
        <v>37</v>
      </c>
    </row>
    <row r="4" spans="1:16" x14ac:dyDescent="0.25">
      <c r="A4" s="96" t="s">
        <v>117</v>
      </c>
      <c r="B4" s="98"/>
      <c r="C4" s="98" t="s">
        <v>15</v>
      </c>
      <c r="D4" s="98" t="s">
        <v>16</v>
      </c>
      <c r="E4" s="98" t="s">
        <v>27</v>
      </c>
      <c r="F4" s="99">
        <v>91390341.189999998</v>
      </c>
      <c r="G4" s="99">
        <v>7953785.4100000001</v>
      </c>
      <c r="H4" s="171">
        <v>1714450</v>
      </c>
      <c r="I4" s="171">
        <v>1122101</v>
      </c>
      <c r="J4" s="99">
        <f>F4-G4</f>
        <v>83436555.780000001</v>
      </c>
      <c r="K4" s="115">
        <f t="shared" ref="K4:K9" si="0">J4/H4</f>
        <v>48.66666031671965</v>
      </c>
      <c r="L4" s="100">
        <f>+IF(E4="Weekdays",K4/$H$13,IF(E4="Saturdays",K4/$H$14,IF(E4="Sundays",K4/$H$15,"NA")))</f>
        <v>1</v>
      </c>
      <c r="M4" s="117">
        <f>H4/I4</f>
        <v>1.5278927654462477</v>
      </c>
      <c r="N4" s="101"/>
    </row>
    <row r="5" spans="1:16" x14ac:dyDescent="0.25">
      <c r="A5" s="59" t="s">
        <v>117</v>
      </c>
      <c r="B5" s="21"/>
      <c r="C5" s="21" t="s">
        <v>15</v>
      </c>
      <c r="D5" s="21" t="s">
        <v>16</v>
      </c>
      <c r="E5" s="21" t="s">
        <v>59</v>
      </c>
      <c r="F5" s="23">
        <v>9446573.7799999993</v>
      </c>
      <c r="G5" s="23">
        <v>369281.69</v>
      </c>
      <c r="H5" s="27">
        <v>158532</v>
      </c>
      <c r="I5" s="27">
        <v>122046</v>
      </c>
      <c r="J5" s="23">
        <f>F5-G5</f>
        <v>9077292.0899999999</v>
      </c>
      <c r="K5" s="24">
        <f t="shared" si="0"/>
        <v>57.2584215805011</v>
      </c>
      <c r="L5" s="311">
        <f>+IF(E5="Weekdays",K5/$H$13,IF(E5="Saturdays",K5/$H$14,IF(E5="Sundays",K5/$H$15,"NA")))</f>
        <v>1</v>
      </c>
      <c r="M5" s="26">
        <f>H5/I5</f>
        <v>1.2989528538419941</v>
      </c>
      <c r="N5" s="82"/>
    </row>
    <row r="6" spans="1:16" ht="15.75" thickBot="1" x14ac:dyDescent="0.3">
      <c r="A6" s="59" t="s">
        <v>117</v>
      </c>
      <c r="B6" s="21"/>
      <c r="C6" s="21" t="s">
        <v>15</v>
      </c>
      <c r="D6" s="21" t="s">
        <v>16</v>
      </c>
      <c r="E6" s="21" t="s">
        <v>60</v>
      </c>
      <c r="F6" s="23">
        <v>8742548.0199999996</v>
      </c>
      <c r="G6" s="23">
        <v>349945.9</v>
      </c>
      <c r="H6" s="27">
        <v>148660</v>
      </c>
      <c r="I6" s="27">
        <v>112930</v>
      </c>
      <c r="J6" s="23">
        <f>F6-G6</f>
        <v>8392602.1199999992</v>
      </c>
      <c r="K6" s="24">
        <f t="shared" si="0"/>
        <v>56.455012242701464</v>
      </c>
      <c r="L6" s="311">
        <f>+IF(E6="Weekdays",K6/$H$13,IF(E6="Saturdays",K6/$H$14,IF(E6="Sundays",K6/$H$15,"NA")))</f>
        <v>1</v>
      </c>
      <c r="M6" s="26">
        <f>H6/I6</f>
        <v>1.3163906844948199</v>
      </c>
      <c r="N6" s="82"/>
    </row>
    <row r="7" spans="1:16" x14ac:dyDescent="0.25">
      <c r="A7" s="247" t="s">
        <v>9</v>
      </c>
      <c r="B7" s="249"/>
      <c r="C7" s="280" t="s">
        <v>109</v>
      </c>
      <c r="D7" s="249" t="s">
        <v>82</v>
      </c>
      <c r="E7" s="249" t="s">
        <v>27</v>
      </c>
      <c r="F7" s="250">
        <v>1876521</v>
      </c>
      <c r="G7" s="250">
        <v>81230</v>
      </c>
      <c r="H7" s="281">
        <v>37586</v>
      </c>
      <c r="I7" s="252">
        <v>18848</v>
      </c>
      <c r="J7" s="284">
        <f>+F7-G7</f>
        <v>1795291</v>
      </c>
      <c r="K7" s="285">
        <f t="shared" si="0"/>
        <v>47.764885861757037</v>
      </c>
      <c r="L7" s="286">
        <f>+IF(E7="Weekdays",K7/$H$20,IF(E7="Saturdays",K7/$H$21,IF(E7="Sundays",K7/$H$22,"NA")))</f>
        <v>0.8517529018784441</v>
      </c>
      <c r="M7" s="325">
        <f t="shared" ref="M7:M8" si="1">H7/I7</f>
        <v>1.9941638370118846</v>
      </c>
      <c r="N7" s="328"/>
      <c r="O7" s="182"/>
      <c r="P7" s="327"/>
    </row>
    <row r="8" spans="1:16" x14ac:dyDescent="0.25">
      <c r="A8" s="184" t="s">
        <v>9</v>
      </c>
      <c r="B8" s="177"/>
      <c r="C8" s="329" t="s">
        <v>109</v>
      </c>
      <c r="D8" s="177" t="s">
        <v>82</v>
      </c>
      <c r="E8" s="177" t="s">
        <v>59</v>
      </c>
      <c r="F8" s="185">
        <v>87912</v>
      </c>
      <c r="G8" s="185">
        <v>4273</v>
      </c>
      <c r="H8" s="186">
        <v>1977</v>
      </c>
      <c r="I8" s="187">
        <v>883</v>
      </c>
      <c r="J8" s="185">
        <f t="shared" ref="J8" si="2">+F8-G8</f>
        <v>83639</v>
      </c>
      <c r="K8" s="180">
        <f t="shared" si="0"/>
        <v>42.306019221041986</v>
      </c>
      <c r="L8" s="189">
        <f t="shared" ref="L8:L9" si="3">+IF(E8="Weekdays",K8/$H$20,IF(E8="Saturdays",K8/$H$21,IF(E8="Sundays",K8/$H$22,"NA")))</f>
        <v>1</v>
      </c>
      <c r="M8" s="326">
        <f t="shared" si="1"/>
        <v>2.2389580973952437</v>
      </c>
      <c r="N8" s="330"/>
      <c r="O8" s="182"/>
      <c r="P8" s="327"/>
    </row>
    <row r="9" spans="1:16" ht="15.75" thickBot="1" x14ac:dyDescent="0.3">
      <c r="A9" s="84" t="s">
        <v>117</v>
      </c>
      <c r="B9" s="85"/>
      <c r="C9" s="85" t="s">
        <v>76</v>
      </c>
      <c r="D9" s="85" t="s">
        <v>82</v>
      </c>
      <c r="E9" s="85" t="s">
        <v>27</v>
      </c>
      <c r="F9" s="86">
        <v>8940762</v>
      </c>
      <c r="G9" s="86">
        <v>498226</v>
      </c>
      <c r="H9" s="172">
        <v>131112</v>
      </c>
      <c r="I9" s="172">
        <v>97237</v>
      </c>
      <c r="J9" s="86">
        <f>+F9-G9</f>
        <v>8442536</v>
      </c>
      <c r="K9" s="87">
        <f t="shared" si="0"/>
        <v>64.391787174324236</v>
      </c>
      <c r="L9" s="109">
        <f t="shared" si="3"/>
        <v>1.1482470981215558</v>
      </c>
      <c r="M9" s="110">
        <f>H9/I9</f>
        <v>1.3483756183345845</v>
      </c>
      <c r="N9" s="88"/>
    </row>
    <row r="11" spans="1:16" ht="15.75" thickBot="1" x14ac:dyDescent="0.3">
      <c r="A11" s="21"/>
      <c r="B11" s="21"/>
      <c r="C11" s="21"/>
      <c r="D11" s="21"/>
      <c r="F11" s="335" t="s">
        <v>16</v>
      </c>
      <c r="G11" s="335"/>
      <c r="H11" s="335"/>
      <c r="I11" s="335"/>
      <c r="J11" s="335"/>
      <c r="K11" s="335"/>
      <c r="L11" s="335"/>
      <c r="M11" s="21"/>
      <c r="N11" s="21"/>
    </row>
    <row r="12" spans="1:16" ht="36" x14ac:dyDescent="0.25">
      <c r="A12" s="21"/>
      <c r="B12" s="21"/>
      <c r="C12" s="21"/>
      <c r="D12" s="21"/>
      <c r="F12" s="48" t="s">
        <v>57</v>
      </c>
      <c r="G12" s="75" t="s">
        <v>38</v>
      </c>
      <c r="H12" s="76" t="s">
        <v>39</v>
      </c>
      <c r="I12" s="76" t="s">
        <v>40</v>
      </c>
      <c r="J12" s="76" t="s">
        <v>41</v>
      </c>
      <c r="K12" s="77" t="s">
        <v>42</v>
      </c>
      <c r="L12" s="51" t="s">
        <v>56</v>
      </c>
      <c r="M12" s="21"/>
      <c r="N12" s="21"/>
    </row>
    <row r="13" spans="1:16" x14ac:dyDescent="0.25">
      <c r="A13" s="21"/>
      <c r="B13" s="21"/>
      <c r="C13" s="21"/>
      <c r="D13" s="21"/>
      <c r="F13" s="52">
        <f>COUNTIF($E$4:$E$6, "Weekdays")</f>
        <v>1</v>
      </c>
      <c r="G13" s="89" t="s">
        <v>27</v>
      </c>
      <c r="H13" s="90">
        <f>AVERAGEIF($E$4:$E$6,"Weekdays",K4:K6)</f>
        <v>48.66666031671965</v>
      </c>
      <c r="I13" s="91">
        <f>H13*1.2</f>
        <v>58.39999238006358</v>
      </c>
      <c r="J13" s="92">
        <f>H13*1.35</f>
        <v>65.699991427571533</v>
      </c>
      <c r="K13" s="93">
        <f>H13*1.6</f>
        <v>77.86665650675144</v>
      </c>
      <c r="L13" s="58">
        <f>+SUMIF($E$4:$E$6,"Weekdays",$J$4:$J$6)/SUMIF($E$4:$E$6,"Weekdays",$H$4:$H$6)</f>
        <v>48.66666031671965</v>
      </c>
      <c r="M13" s="21"/>
      <c r="N13" s="21"/>
    </row>
    <row r="14" spans="1:16" x14ac:dyDescent="0.25">
      <c r="A14" s="21"/>
      <c r="B14" s="21"/>
      <c r="C14" s="21"/>
      <c r="D14" s="21"/>
      <c r="F14" s="52">
        <f>COUNTIF($E$4:$E$6, "Saturdays")</f>
        <v>1</v>
      </c>
      <c r="G14" s="89" t="s">
        <v>59</v>
      </c>
      <c r="H14" s="90">
        <f>AVERAGEIF($E$4:$E$6,"Saturdays",K4:K6)</f>
        <v>57.2584215805011</v>
      </c>
      <c r="I14" s="91">
        <f>H14*1.2</f>
        <v>68.71010589660132</v>
      </c>
      <c r="J14" s="92">
        <f>H14*1.35</f>
        <v>77.29886913367649</v>
      </c>
      <c r="K14" s="93">
        <f>H14*1.6</f>
        <v>91.61347452880176</v>
      </c>
      <c r="L14" s="58">
        <f>+SUMIF($E$4:$E$6,"saturdays",$J$4:$J$6)/SUMIF($E$4:$E$6,"saturdays",$H$4:$H$6)</f>
        <v>57.2584215805011</v>
      </c>
      <c r="M14" s="21"/>
      <c r="N14" s="21"/>
    </row>
    <row r="15" spans="1:16" ht="15.75" thickBot="1" x14ac:dyDescent="0.3">
      <c r="A15" s="21"/>
      <c r="B15" s="21"/>
      <c r="C15" s="21"/>
      <c r="D15" s="21"/>
      <c r="F15" s="64">
        <f>COUNTIF($E$4:$E$6, "Sundays")</f>
        <v>1</v>
      </c>
      <c r="G15" s="103" t="s">
        <v>60</v>
      </c>
      <c r="H15" s="104">
        <f>AVERAGEIF($E$4:$E$6,"Sundays",K4:K6)</f>
        <v>56.455012242701464</v>
      </c>
      <c r="I15" s="105">
        <f>H15*1.2</f>
        <v>67.746014691241754</v>
      </c>
      <c r="J15" s="106">
        <f>H15*1.35</f>
        <v>76.214266527646984</v>
      </c>
      <c r="K15" s="107">
        <f>H15*1.6</f>
        <v>90.328019588322348</v>
      </c>
      <c r="L15" s="74">
        <f>+SUMIF($E$4:$E$6,"Sundays",$J$4:$J$6)/SUMIF($E$4:$E$6,"Sundays",$H$4:$H$6)</f>
        <v>56.455012242701464</v>
      </c>
      <c r="M15" s="21"/>
      <c r="N15" s="21"/>
    </row>
    <row r="16" spans="1:16" ht="15.75" thickBot="1" x14ac:dyDescent="0.3">
      <c r="A16" s="21"/>
      <c r="B16" s="21"/>
      <c r="C16" s="21"/>
      <c r="D16" s="21"/>
      <c r="E16" s="21"/>
      <c r="F16" s="21"/>
      <c r="G16" s="95" t="s">
        <v>55</v>
      </c>
      <c r="H16" s="71">
        <v>2</v>
      </c>
      <c r="I16" s="72"/>
      <c r="J16" s="72"/>
      <c r="K16" s="73"/>
      <c r="L16" s="74">
        <f>+SUM($J$4:$J$6)/SUM($H$4:$H$6)</f>
        <v>49.913115175683927</v>
      </c>
      <c r="M16" s="21"/>
      <c r="N16" s="21"/>
    </row>
    <row r="18" spans="5:12" ht="15.75" thickBot="1" x14ac:dyDescent="0.3">
      <c r="F18" s="335" t="s">
        <v>82</v>
      </c>
      <c r="G18" s="335"/>
      <c r="H18" s="335"/>
      <c r="I18" s="335"/>
      <c r="J18" s="335"/>
      <c r="K18" s="335"/>
      <c r="L18" s="335"/>
    </row>
    <row r="19" spans="5:12" ht="36" x14ac:dyDescent="0.25">
      <c r="F19" s="48" t="s">
        <v>57</v>
      </c>
      <c r="G19" s="75" t="s">
        <v>38</v>
      </c>
      <c r="H19" s="76" t="s">
        <v>39</v>
      </c>
      <c r="I19" s="76" t="s">
        <v>40</v>
      </c>
      <c r="J19" s="76" t="s">
        <v>41</v>
      </c>
      <c r="K19" s="77" t="s">
        <v>42</v>
      </c>
      <c r="L19" s="51" t="s">
        <v>56</v>
      </c>
    </row>
    <row r="20" spans="5:12" x14ac:dyDescent="0.25">
      <c r="F20" s="52">
        <f>COUNTIF($E$7:$E$9, "Weekdays")</f>
        <v>2</v>
      </c>
      <c r="G20" s="89" t="s">
        <v>27</v>
      </c>
      <c r="H20" s="90">
        <f>AVERAGEIF($E$7:$E$9,"Weekdays",K7:K9)</f>
        <v>56.078336518040636</v>
      </c>
      <c r="I20" s="91">
        <f>H20*1.2</f>
        <v>67.294003821648758</v>
      </c>
      <c r="J20" s="92">
        <f>H20*1.35</f>
        <v>75.705754299354865</v>
      </c>
      <c r="K20" s="93">
        <f>H20*1.6</f>
        <v>89.72533842886503</v>
      </c>
      <c r="L20" s="58">
        <f>+SUMIF($E$9,"Weekdays",$J$9)/SUMIF($E$9,"Weekdays",$H$9)</f>
        <v>64.391787174324236</v>
      </c>
    </row>
    <row r="21" spans="5:12" x14ac:dyDescent="0.25">
      <c r="F21" s="52">
        <f>COUNTIF($E$7:$E$9, "Saturdays")</f>
        <v>1</v>
      </c>
      <c r="G21" s="89" t="s">
        <v>59</v>
      </c>
      <c r="H21" s="90">
        <f>AVERAGEIF($E$7:$E$9,"Saturdays",K7:K9)</f>
        <v>42.306019221041986</v>
      </c>
      <c r="I21" s="91">
        <f>H21*1.2</f>
        <v>50.767223065250384</v>
      </c>
      <c r="J21" s="92">
        <f>H21*1.35</f>
        <v>57.113125948406683</v>
      </c>
      <c r="K21" s="93">
        <f>H21*1.6</f>
        <v>67.689630753667174</v>
      </c>
      <c r="L21" s="58">
        <f>+SUMIF($E$7:$E$9,"saturdays",$J$7:$J$9)/SUMIF($E$7:$E$9,"saturdays",$H$7:$H$9)</f>
        <v>42.306019221041986</v>
      </c>
    </row>
    <row r="22" spans="5:12" ht="15.75" thickBot="1" x14ac:dyDescent="0.3">
      <c r="F22" s="64">
        <f>COUNTIF($E$7:$E$9, "Sundays")</f>
        <v>0</v>
      </c>
      <c r="G22" s="103" t="s">
        <v>60</v>
      </c>
      <c r="H22" s="104" t="e">
        <f>AVERAGEIF($E$7:$E$9,"Sundays",K7:K9)</f>
        <v>#DIV/0!</v>
      </c>
      <c r="I22" s="105" t="e">
        <f>H22*1.2</f>
        <v>#DIV/0!</v>
      </c>
      <c r="J22" s="106" t="e">
        <f>H22*1.35</f>
        <v>#DIV/0!</v>
      </c>
      <c r="K22" s="107" t="e">
        <f>H22*1.6</f>
        <v>#DIV/0!</v>
      </c>
      <c r="L22" s="74" t="e">
        <f>+SUMIF($E$9,"Sundays",$J$9)/SUMIF($E$9,"Sundays",$H$9)</f>
        <v>#DIV/0!</v>
      </c>
    </row>
    <row r="23" spans="5:12" ht="15.75" thickBot="1" x14ac:dyDescent="0.3">
      <c r="E23" s="21"/>
      <c r="F23" s="21"/>
      <c r="G23" s="95" t="s">
        <v>55</v>
      </c>
      <c r="H23" s="71">
        <v>2</v>
      </c>
      <c r="I23" s="72"/>
      <c r="J23" s="72"/>
      <c r="K23" s="73"/>
      <c r="L23" s="74">
        <f>+SUM($J$7:$J$9)/SUM($H$7:$H$9)</f>
        <v>60.474386992822616</v>
      </c>
    </row>
  </sheetData>
  <mergeCells count="3">
    <mergeCell ref="A2:N2"/>
    <mergeCell ref="F11:L11"/>
    <mergeCell ref="F18:L18"/>
  </mergeCells>
  <conditionalFormatting sqref="A7:G7">
    <cfRule type="expression" dxfId="10" priority="4">
      <formula>(ROW(A7)-1)/3=ROUND((ROW(A7)-1)/3,0)</formula>
    </cfRule>
  </conditionalFormatting>
  <conditionalFormatting sqref="L1">
    <cfRule type="cellIs" dxfId="9" priority="20" operator="greaterThan">
      <formula>1.6</formula>
    </cfRule>
  </conditionalFormatting>
  <conditionalFormatting sqref="L4">
    <cfRule type="cellIs" dxfId="8" priority="17" operator="greaterThan">
      <formula>1.6</formula>
    </cfRule>
    <cfRule type="cellIs" dxfId="7" priority="18" operator="between">
      <formula>1.35</formula>
      <formula>1.6</formula>
    </cfRule>
    <cfRule type="cellIs" dxfId="6" priority="19" operator="between">
      <formula>1.2</formula>
      <formula>1.35</formula>
    </cfRule>
  </conditionalFormatting>
  <conditionalFormatting sqref="L7:L8">
    <cfRule type="cellIs" dxfId="5" priority="1" operator="greaterThan">
      <formula>1.6</formula>
    </cfRule>
    <cfRule type="cellIs" dxfId="4" priority="2" operator="between">
      <formula>1.35</formula>
      <formula>1.6</formula>
    </cfRule>
    <cfRule type="cellIs" dxfId="3" priority="3" operator="between">
      <formula>1.2</formula>
      <formula>1.35</formula>
    </cfRule>
  </conditionalFormatting>
  <conditionalFormatting sqref="M4:M9">
    <cfRule type="cellIs" dxfId="2" priority="16" operator="lessThan">
      <formula>$H$16</formula>
    </cfRule>
  </conditionalFormatting>
  <conditionalFormatting sqref="O7:O8">
    <cfRule type="cellIs" dxfId="1" priority="5" operator="lessThan">
      <formula>$G$24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C1A7E-37E3-40EC-BF26-90385167816C}">
  <dimension ref="A1:N4"/>
  <sheetViews>
    <sheetView workbookViewId="0">
      <selection activeCell="A4" sqref="A4"/>
    </sheetView>
  </sheetViews>
  <sheetFormatPr defaultRowHeight="15" x14ac:dyDescent="0.25"/>
  <cols>
    <col min="1" max="1" width="20.7109375" customWidth="1"/>
    <col min="2" max="2" width="10.7109375" customWidth="1"/>
    <col min="3" max="3" width="14.42578125" bestFit="1" customWidth="1"/>
    <col min="4" max="4" width="8.7109375" customWidth="1"/>
    <col min="5" max="5" width="10.7109375" customWidth="1"/>
    <col min="6" max="6" width="9.7109375" customWidth="1"/>
    <col min="7" max="11" width="11.7109375" customWidth="1"/>
    <col min="12" max="12" width="14.140625" customWidth="1"/>
    <col min="13" max="13" width="12.5703125" customWidth="1"/>
    <col min="14" max="14" width="35.7109375" customWidth="1"/>
  </cols>
  <sheetData>
    <row r="1" spans="1:14" ht="22.5" x14ac:dyDescent="0.45">
      <c r="A1" s="13" t="s">
        <v>53</v>
      </c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37.5" thickBot="1" x14ac:dyDescent="0.75">
      <c r="A2" s="333" t="s">
        <v>99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</row>
    <row r="3" spans="1:14" s="6" customFormat="1" ht="45.75" thickBot="1" x14ac:dyDescent="0.3">
      <c r="A3" s="111" t="s">
        <v>7</v>
      </c>
      <c r="B3" s="157" t="s">
        <v>65</v>
      </c>
      <c r="C3" s="158" t="s">
        <v>66</v>
      </c>
      <c r="D3" s="159" t="s">
        <v>0</v>
      </c>
      <c r="E3" s="159" t="s">
        <v>1</v>
      </c>
      <c r="F3" s="160" t="s">
        <v>2</v>
      </c>
      <c r="G3" s="160" t="s">
        <v>32</v>
      </c>
      <c r="H3" s="161" t="s">
        <v>34</v>
      </c>
      <c r="I3" s="161" t="s">
        <v>73</v>
      </c>
      <c r="J3" s="160" t="s">
        <v>33</v>
      </c>
      <c r="K3" s="162" t="s">
        <v>13</v>
      </c>
      <c r="L3" s="163" t="s">
        <v>64</v>
      </c>
      <c r="M3" s="163" t="s">
        <v>36</v>
      </c>
      <c r="N3" s="165" t="s">
        <v>37</v>
      </c>
    </row>
    <row r="4" spans="1:14" ht="15.75" thickBot="1" x14ac:dyDescent="0.3">
      <c r="A4" s="291" t="s">
        <v>117</v>
      </c>
      <c r="B4" s="292"/>
      <c r="C4" s="293" t="s">
        <v>14</v>
      </c>
      <c r="D4" s="292" t="s">
        <v>54</v>
      </c>
      <c r="E4" s="293"/>
      <c r="F4" s="294">
        <v>787676</v>
      </c>
      <c r="G4" s="294">
        <v>600328</v>
      </c>
      <c r="H4" s="295">
        <v>77806</v>
      </c>
      <c r="I4" s="296">
        <v>20641</v>
      </c>
      <c r="J4" s="294">
        <f>F4-G4</f>
        <v>187348</v>
      </c>
      <c r="K4" s="297">
        <f>J4/H4</f>
        <v>2.4078862812636559</v>
      </c>
      <c r="L4" s="298">
        <v>1</v>
      </c>
      <c r="M4" s="299">
        <f>H4/I4</f>
        <v>3.7694879124073446</v>
      </c>
      <c r="N4" s="173"/>
    </row>
  </sheetData>
  <mergeCells count="1">
    <mergeCell ref="A2:N2"/>
  </mergeCells>
  <conditionalFormatting sqref="L1">
    <cfRule type="cellIs" dxfId="0" priority="1" operator="greaterThan">
      <formula>1.6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7F75E-2FB1-4263-8E71-4C64139B52E2}">
  <dimension ref="A1:O291"/>
  <sheetViews>
    <sheetView zoomScale="90" zoomScaleNormal="90" workbookViewId="0">
      <pane ySplit="2" topLeftCell="A3" activePane="bottomLeft" state="frozen"/>
      <selection pane="bottomLeft" activeCell="D288" sqref="D288"/>
    </sheetView>
  </sheetViews>
  <sheetFormatPr defaultColWidth="9.140625" defaultRowHeight="15" x14ac:dyDescent="0.25"/>
  <cols>
    <col min="1" max="1" width="24.5703125" style="21" customWidth="1"/>
    <col min="2" max="2" width="10.42578125" style="21" customWidth="1"/>
    <col min="3" max="3" width="13.5703125" style="21" customWidth="1"/>
    <col min="4" max="4" width="18.140625" style="21" customWidth="1"/>
    <col min="5" max="5" width="12.140625" style="21" customWidth="1"/>
    <col min="6" max="6" width="19.28515625" style="24" customWidth="1"/>
    <col min="7" max="7" width="19.140625" style="24" bestFit="1" customWidth="1"/>
    <col min="8" max="8" width="12.140625" style="36" customWidth="1"/>
    <col min="9" max="9" width="12" style="36" customWidth="1"/>
    <col min="10" max="10" width="13.85546875" style="21" customWidth="1"/>
    <col min="11" max="11" width="14.5703125" style="21" customWidth="1"/>
    <col min="12" max="12" width="11.7109375" style="21" customWidth="1"/>
    <col min="13" max="13" width="12.42578125" style="21" customWidth="1"/>
    <col min="14" max="14" width="13.5703125" style="21" customWidth="1"/>
    <col min="15" max="15" width="36.85546875" style="21" customWidth="1"/>
    <col min="16" max="16384" width="9.140625" style="21"/>
  </cols>
  <sheetData>
    <row r="1" spans="1:15" ht="37.5" thickBot="1" x14ac:dyDescent="0.75">
      <c r="A1" s="314" t="s">
        <v>84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</row>
    <row r="2" spans="1:15" s="20" customFormat="1" ht="38.25" customHeight="1" thickBot="1" x14ac:dyDescent="0.3">
      <c r="A2" s="111" t="s">
        <v>7</v>
      </c>
      <c r="B2" s="111" t="s">
        <v>65</v>
      </c>
      <c r="C2" s="111" t="s">
        <v>66</v>
      </c>
      <c r="D2" s="111" t="s">
        <v>0</v>
      </c>
      <c r="E2" s="111" t="s">
        <v>75</v>
      </c>
      <c r="F2" s="111" t="s">
        <v>2</v>
      </c>
      <c r="G2" s="111" t="s">
        <v>4</v>
      </c>
      <c r="H2" s="111" t="s">
        <v>3</v>
      </c>
      <c r="I2" s="111" t="s">
        <v>5</v>
      </c>
      <c r="J2" s="111" t="s">
        <v>24</v>
      </c>
      <c r="K2" s="111" t="s">
        <v>13</v>
      </c>
      <c r="L2" s="111" t="s">
        <v>83</v>
      </c>
      <c r="M2" s="111" t="s">
        <v>25</v>
      </c>
      <c r="N2" s="111" t="s">
        <v>29</v>
      </c>
      <c r="O2" s="111" t="s">
        <v>23</v>
      </c>
    </row>
    <row r="3" spans="1:15" x14ac:dyDescent="0.25">
      <c r="A3" s="96" t="s">
        <v>9</v>
      </c>
      <c r="B3" s="98">
        <v>781</v>
      </c>
      <c r="C3" s="98" t="s">
        <v>100</v>
      </c>
      <c r="D3" s="98" t="s">
        <v>62</v>
      </c>
      <c r="E3" s="97" t="s">
        <v>27</v>
      </c>
      <c r="F3" s="112">
        <v>1425541</v>
      </c>
      <c r="G3" s="112">
        <v>352439</v>
      </c>
      <c r="H3" s="113">
        <v>118405</v>
      </c>
      <c r="I3" s="114">
        <v>4730</v>
      </c>
      <c r="J3" s="99">
        <f>F3-G3</f>
        <v>1073102</v>
      </c>
      <c r="K3" s="115">
        <f>J3/H3</f>
        <v>9.0629787593429327</v>
      </c>
      <c r="L3" s="116">
        <f>G3/F3</f>
        <v>0.24723175271703865</v>
      </c>
      <c r="M3" s="117">
        <f>H3/I3</f>
        <v>25.032769556025372</v>
      </c>
      <c r="N3" s="115">
        <f>F3/I3</f>
        <v>301.38287526427064</v>
      </c>
      <c r="O3" s="101"/>
    </row>
    <row r="4" spans="1:15" ht="15" customHeight="1" x14ac:dyDescent="0.25">
      <c r="A4" s="59" t="s">
        <v>9</v>
      </c>
      <c r="B4" s="32">
        <v>784</v>
      </c>
      <c r="C4" s="32" t="s">
        <v>100</v>
      </c>
      <c r="D4" s="21" t="s">
        <v>62</v>
      </c>
      <c r="E4" s="32" t="s">
        <v>27</v>
      </c>
      <c r="F4" s="33">
        <v>435187</v>
      </c>
      <c r="G4" s="33">
        <v>59076</v>
      </c>
      <c r="H4" s="34">
        <v>19847</v>
      </c>
      <c r="I4" s="34">
        <v>1601</v>
      </c>
      <c r="J4" s="23">
        <f t="shared" ref="J4:J67" si="0">F4-G4</f>
        <v>376111</v>
      </c>
      <c r="K4" s="24">
        <f t="shared" ref="K4:K67" si="1">J4/H4</f>
        <v>18.950521489393864</v>
      </c>
      <c r="L4" s="25">
        <f t="shared" ref="L4:L67" si="2">G4/F4</f>
        <v>0.13574854028268307</v>
      </c>
      <c r="M4" s="26">
        <f t="shared" ref="M4:M67" si="3">H4/I4</f>
        <v>12.396627108057464</v>
      </c>
      <c r="N4" s="24">
        <f t="shared" ref="N4:N67" si="4">F4/I4</f>
        <v>271.82198625858837</v>
      </c>
      <c r="O4" s="82"/>
    </row>
    <row r="5" spans="1:15" ht="15" customHeight="1" x14ac:dyDescent="0.25">
      <c r="A5" s="59" t="s">
        <v>9</v>
      </c>
      <c r="B5" s="32">
        <v>785</v>
      </c>
      <c r="C5" s="32" t="s">
        <v>100</v>
      </c>
      <c r="D5" s="21" t="s">
        <v>62</v>
      </c>
      <c r="E5" s="32" t="s">
        <v>27</v>
      </c>
      <c r="F5" s="33">
        <v>538432</v>
      </c>
      <c r="G5" s="33">
        <v>128340</v>
      </c>
      <c r="H5" s="34">
        <v>43117</v>
      </c>
      <c r="I5" s="34">
        <v>1802</v>
      </c>
      <c r="J5" s="23">
        <f t="shared" si="0"/>
        <v>410092</v>
      </c>
      <c r="K5" s="24">
        <f t="shared" si="1"/>
        <v>9.5111440962961247</v>
      </c>
      <c r="L5" s="25">
        <f t="shared" si="2"/>
        <v>0.2383587899679068</v>
      </c>
      <c r="M5" s="26">
        <f t="shared" si="3"/>
        <v>23.927302996670367</v>
      </c>
      <c r="N5" s="24">
        <f t="shared" si="4"/>
        <v>298.79689234184241</v>
      </c>
      <c r="O5" s="82"/>
    </row>
    <row r="6" spans="1:15" ht="15" customHeight="1" x14ac:dyDescent="0.25">
      <c r="A6" s="59" t="s">
        <v>9</v>
      </c>
      <c r="B6" s="32">
        <v>789</v>
      </c>
      <c r="C6" s="32" t="s">
        <v>100</v>
      </c>
      <c r="D6" s="21" t="s">
        <v>62</v>
      </c>
      <c r="E6" s="32" t="s">
        <v>27</v>
      </c>
      <c r="F6" s="33">
        <v>191977</v>
      </c>
      <c r="G6" s="33">
        <v>58582</v>
      </c>
      <c r="H6" s="34">
        <v>19681</v>
      </c>
      <c r="I6" s="34">
        <v>601</v>
      </c>
      <c r="J6" s="23">
        <f t="shared" si="0"/>
        <v>133395</v>
      </c>
      <c r="K6" s="24">
        <f t="shared" si="1"/>
        <v>6.7778568162186881</v>
      </c>
      <c r="L6" s="25">
        <f t="shared" si="2"/>
        <v>0.30515113789672721</v>
      </c>
      <c r="M6" s="26">
        <f t="shared" si="3"/>
        <v>32.747088186356073</v>
      </c>
      <c r="N6" s="24">
        <f t="shared" si="4"/>
        <v>319.42928452579037</v>
      </c>
      <c r="O6" s="82"/>
    </row>
    <row r="7" spans="1:15" ht="15" customHeight="1" x14ac:dyDescent="0.25">
      <c r="A7" s="59" t="s">
        <v>117</v>
      </c>
      <c r="B7" s="32">
        <v>94</v>
      </c>
      <c r="C7" s="32" t="s">
        <v>100</v>
      </c>
      <c r="D7" s="21" t="s">
        <v>62</v>
      </c>
      <c r="E7" s="32" t="s">
        <v>27</v>
      </c>
      <c r="F7" s="310">
        <v>3247869.32</v>
      </c>
      <c r="G7" s="33">
        <v>298051.53000000003</v>
      </c>
      <c r="H7" s="34">
        <v>212650.06</v>
      </c>
      <c r="I7" s="34">
        <v>9820.7900000000009</v>
      </c>
      <c r="J7" s="23">
        <f t="shared" si="0"/>
        <v>2949817.79</v>
      </c>
      <c r="K7" s="24">
        <f t="shared" si="1"/>
        <v>13.871699777559433</v>
      </c>
      <c r="L7" s="25">
        <f t="shared" si="2"/>
        <v>9.176832582660685E-2</v>
      </c>
      <c r="M7" s="26">
        <f t="shared" si="3"/>
        <v>21.653050314689548</v>
      </c>
      <c r="N7" s="24">
        <f t="shared" si="4"/>
        <v>330.71365134576746</v>
      </c>
      <c r="O7" s="82"/>
    </row>
    <row r="8" spans="1:15" ht="15" customHeight="1" x14ac:dyDescent="0.25">
      <c r="A8" s="59" t="s">
        <v>117</v>
      </c>
      <c r="B8" s="32">
        <v>113</v>
      </c>
      <c r="C8" s="32" t="s">
        <v>100</v>
      </c>
      <c r="D8" s="21" t="s">
        <v>62</v>
      </c>
      <c r="E8" s="32" t="s">
        <v>27</v>
      </c>
      <c r="F8" s="310">
        <v>558292.03</v>
      </c>
      <c r="G8" s="35">
        <v>53289.919999999998</v>
      </c>
      <c r="H8" s="27">
        <v>38965.79</v>
      </c>
      <c r="I8" s="34">
        <v>1352.7</v>
      </c>
      <c r="J8" s="23">
        <f t="shared" si="0"/>
        <v>505002.11000000004</v>
      </c>
      <c r="K8" s="24">
        <f t="shared" si="1"/>
        <v>12.960140420609976</v>
      </c>
      <c r="L8" s="25">
        <f t="shared" si="2"/>
        <v>9.5451693981732103E-2</v>
      </c>
      <c r="M8" s="26">
        <f t="shared" si="3"/>
        <v>28.805936275596952</v>
      </c>
      <c r="N8" s="24">
        <f t="shared" si="4"/>
        <v>412.72420344496192</v>
      </c>
      <c r="O8" s="82"/>
    </row>
    <row r="9" spans="1:15" ht="15" customHeight="1" x14ac:dyDescent="0.25">
      <c r="A9" s="59" t="s">
        <v>117</v>
      </c>
      <c r="B9" s="32">
        <v>114</v>
      </c>
      <c r="C9" s="32" t="s">
        <v>100</v>
      </c>
      <c r="D9" s="21" t="s">
        <v>62</v>
      </c>
      <c r="E9" s="32" t="s">
        <v>27</v>
      </c>
      <c r="F9" s="310">
        <v>644799.29</v>
      </c>
      <c r="G9" s="33">
        <v>66265.81</v>
      </c>
      <c r="H9" s="34">
        <v>47903.26</v>
      </c>
      <c r="I9" s="34">
        <v>1535.83</v>
      </c>
      <c r="J9" s="23">
        <f t="shared" si="0"/>
        <v>578533.48</v>
      </c>
      <c r="K9" s="24">
        <f t="shared" si="1"/>
        <v>12.077121264815796</v>
      </c>
      <c r="L9" s="25">
        <f t="shared" si="2"/>
        <v>0.10276966961300468</v>
      </c>
      <c r="M9" s="26">
        <f t="shared" si="3"/>
        <v>31.190470299447206</v>
      </c>
      <c r="N9" s="24">
        <f t="shared" si="4"/>
        <v>419.83767083596496</v>
      </c>
      <c r="O9" s="82"/>
    </row>
    <row r="10" spans="1:15" ht="15" customHeight="1" x14ac:dyDescent="0.25">
      <c r="A10" s="59" t="s">
        <v>117</v>
      </c>
      <c r="B10" s="21">
        <v>250</v>
      </c>
      <c r="C10" s="21" t="s">
        <v>100</v>
      </c>
      <c r="D10" s="21" t="s">
        <v>62</v>
      </c>
      <c r="E10" s="21" t="s">
        <v>27</v>
      </c>
      <c r="F10" s="30">
        <v>1584559.56</v>
      </c>
      <c r="G10" s="30">
        <v>409777.96</v>
      </c>
      <c r="H10" s="31">
        <v>91751.95</v>
      </c>
      <c r="I10" s="31">
        <v>3427.52</v>
      </c>
      <c r="J10" s="23">
        <f t="shared" si="0"/>
        <v>1174781.6000000001</v>
      </c>
      <c r="K10" s="24">
        <f t="shared" si="1"/>
        <v>12.803887001856637</v>
      </c>
      <c r="L10" s="25">
        <f t="shared" si="2"/>
        <v>0.2586068522410101</v>
      </c>
      <c r="M10" s="26">
        <f t="shared" si="3"/>
        <v>26.769194636355149</v>
      </c>
      <c r="N10" s="24">
        <f t="shared" si="4"/>
        <v>462.30497852674824</v>
      </c>
      <c r="O10" s="82"/>
    </row>
    <row r="11" spans="1:15" ht="15" customHeight="1" x14ac:dyDescent="0.25">
      <c r="A11" s="59" t="s">
        <v>117</v>
      </c>
      <c r="B11" s="21">
        <v>252</v>
      </c>
      <c r="C11" s="21" t="s">
        <v>100</v>
      </c>
      <c r="D11" s="21" t="s">
        <v>62</v>
      </c>
      <c r="E11" s="21" t="s">
        <v>27</v>
      </c>
      <c r="F11" s="30">
        <v>277529.24</v>
      </c>
      <c r="G11" s="30">
        <v>28352.29</v>
      </c>
      <c r="H11" s="31">
        <v>14883.7</v>
      </c>
      <c r="I11" s="31">
        <v>501.38</v>
      </c>
      <c r="J11" s="23">
        <f t="shared" si="0"/>
        <v>249176.94999999998</v>
      </c>
      <c r="K11" s="24">
        <f t="shared" si="1"/>
        <v>16.741599870999817</v>
      </c>
      <c r="L11" s="25">
        <f t="shared" si="2"/>
        <v>0.10215964991652772</v>
      </c>
      <c r="M11" s="26">
        <f t="shared" si="3"/>
        <v>29.685468108021862</v>
      </c>
      <c r="N11" s="24">
        <f t="shared" si="4"/>
        <v>553.53073517092821</v>
      </c>
      <c r="O11" s="82"/>
    </row>
    <row r="12" spans="1:15" ht="15" customHeight="1" x14ac:dyDescent="0.25">
      <c r="A12" s="59" t="s">
        <v>117</v>
      </c>
      <c r="B12" s="21">
        <v>264</v>
      </c>
      <c r="C12" s="21" t="s">
        <v>100</v>
      </c>
      <c r="D12" s="21" t="s">
        <v>62</v>
      </c>
      <c r="E12" s="21" t="s">
        <v>27</v>
      </c>
      <c r="F12" s="30">
        <v>241983.97</v>
      </c>
      <c r="G12" s="30">
        <v>52717.2</v>
      </c>
      <c r="H12" s="31">
        <v>11884.18</v>
      </c>
      <c r="I12" s="31">
        <v>590.52</v>
      </c>
      <c r="J12" s="23">
        <f t="shared" si="0"/>
        <v>189266.77000000002</v>
      </c>
      <c r="K12" s="24">
        <f t="shared" si="1"/>
        <v>15.925942723856423</v>
      </c>
      <c r="L12" s="25">
        <f t="shared" si="2"/>
        <v>0.21785410000505404</v>
      </c>
      <c r="M12" s="26">
        <f t="shared" si="3"/>
        <v>20.124940730203889</v>
      </c>
      <c r="N12" s="24">
        <f t="shared" si="4"/>
        <v>409.7811589785274</v>
      </c>
      <c r="O12" s="82"/>
    </row>
    <row r="13" spans="1:15" ht="15" customHeight="1" x14ac:dyDescent="0.25">
      <c r="A13" s="59" t="s">
        <v>117</v>
      </c>
      <c r="B13" s="21">
        <v>270</v>
      </c>
      <c r="C13" s="21" t="s">
        <v>100</v>
      </c>
      <c r="D13" s="21" t="s">
        <v>62</v>
      </c>
      <c r="E13" s="21" t="s">
        <v>27</v>
      </c>
      <c r="F13" s="30">
        <v>778097.82</v>
      </c>
      <c r="G13" s="30">
        <v>176168.49</v>
      </c>
      <c r="H13" s="31">
        <v>39770.29</v>
      </c>
      <c r="I13" s="31">
        <v>1674.45</v>
      </c>
      <c r="J13" s="23">
        <f t="shared" si="0"/>
        <v>601929.32999999996</v>
      </c>
      <c r="K13" s="24">
        <f t="shared" si="1"/>
        <v>15.135150636316707</v>
      </c>
      <c r="L13" s="25">
        <f t="shared" si="2"/>
        <v>0.22640918078911981</v>
      </c>
      <c r="M13" s="26">
        <f t="shared" si="3"/>
        <v>23.751255636179042</v>
      </c>
      <c r="N13" s="24">
        <f t="shared" si="4"/>
        <v>464.68859625548686</v>
      </c>
      <c r="O13" s="82"/>
    </row>
    <row r="14" spans="1:15" ht="15" customHeight="1" x14ac:dyDescent="0.25">
      <c r="A14" s="59" t="s">
        <v>117</v>
      </c>
      <c r="B14" s="21">
        <v>275</v>
      </c>
      <c r="C14" s="21" t="s">
        <v>100</v>
      </c>
      <c r="D14" s="21" t="s">
        <v>62</v>
      </c>
      <c r="E14" s="21" t="s">
        <v>27</v>
      </c>
      <c r="F14" s="30">
        <v>300159.78000000003</v>
      </c>
      <c r="G14" s="30">
        <v>50096.22</v>
      </c>
      <c r="H14" s="31">
        <v>12285.91</v>
      </c>
      <c r="I14" s="31">
        <v>643.02</v>
      </c>
      <c r="J14" s="23">
        <f t="shared" si="0"/>
        <v>250063.56000000003</v>
      </c>
      <c r="K14" s="24">
        <f t="shared" si="1"/>
        <v>20.353686458715718</v>
      </c>
      <c r="L14" s="25">
        <f t="shared" si="2"/>
        <v>0.16689850985365193</v>
      </c>
      <c r="M14" s="26">
        <f t="shared" si="3"/>
        <v>19.106575223165688</v>
      </c>
      <c r="N14" s="24">
        <f t="shared" si="4"/>
        <v>466.79695810394708</v>
      </c>
      <c r="O14" s="82"/>
    </row>
    <row r="15" spans="1:15" ht="15" customHeight="1" x14ac:dyDescent="0.25">
      <c r="A15" s="59" t="s">
        <v>117</v>
      </c>
      <c r="B15" s="21">
        <v>294</v>
      </c>
      <c r="C15" s="21" t="s">
        <v>100</v>
      </c>
      <c r="D15" s="21" t="s">
        <v>62</v>
      </c>
      <c r="E15" s="21" t="s">
        <v>27</v>
      </c>
      <c r="F15" s="30">
        <v>205992.85</v>
      </c>
      <c r="G15" s="30">
        <v>21265.86</v>
      </c>
      <c r="H15" s="31">
        <v>6433.9</v>
      </c>
      <c r="I15" s="31">
        <v>586.62</v>
      </c>
      <c r="J15" s="23">
        <f t="shared" si="0"/>
        <v>184726.99</v>
      </c>
      <c r="K15" s="24">
        <f t="shared" si="1"/>
        <v>28.711510903184692</v>
      </c>
      <c r="L15" s="25">
        <f t="shared" si="2"/>
        <v>0.10323591328533976</v>
      </c>
      <c r="M15" s="26">
        <f t="shared" si="3"/>
        <v>10.967747434455013</v>
      </c>
      <c r="N15" s="24">
        <f t="shared" si="4"/>
        <v>351.15210869046405</v>
      </c>
      <c r="O15" s="82"/>
    </row>
    <row r="16" spans="1:15" ht="15" customHeight="1" x14ac:dyDescent="0.25">
      <c r="A16" s="59" t="s">
        <v>117</v>
      </c>
      <c r="B16" s="21">
        <v>351</v>
      </c>
      <c r="C16" s="21" t="s">
        <v>100</v>
      </c>
      <c r="D16" s="21" t="s">
        <v>62</v>
      </c>
      <c r="E16" s="21" t="s">
        <v>27</v>
      </c>
      <c r="F16" s="30">
        <v>329746.56</v>
      </c>
      <c r="G16" s="30">
        <v>35477.379999999997</v>
      </c>
      <c r="H16" s="31">
        <v>10645.86</v>
      </c>
      <c r="I16" s="31">
        <v>605.17999999999995</v>
      </c>
      <c r="J16" s="23">
        <f t="shared" si="0"/>
        <v>294269.18</v>
      </c>
      <c r="K16" s="24">
        <f t="shared" si="1"/>
        <v>27.641654126580658</v>
      </c>
      <c r="L16" s="25">
        <f t="shared" si="2"/>
        <v>0.10758984111919165</v>
      </c>
      <c r="M16" s="26">
        <f t="shared" si="3"/>
        <v>17.591229055818108</v>
      </c>
      <c r="N16" s="24">
        <f t="shared" si="4"/>
        <v>544.87352523216236</v>
      </c>
      <c r="O16" s="82"/>
    </row>
    <row r="17" spans="1:15" ht="15" customHeight="1" x14ac:dyDescent="0.25">
      <c r="A17" s="59" t="s">
        <v>117</v>
      </c>
      <c r="B17" s="21">
        <v>355</v>
      </c>
      <c r="C17" s="21" t="s">
        <v>100</v>
      </c>
      <c r="D17" s="21" t="s">
        <v>62</v>
      </c>
      <c r="E17" s="21" t="s">
        <v>27</v>
      </c>
      <c r="F17" s="30">
        <v>1207145.17</v>
      </c>
      <c r="G17" s="30">
        <v>283308.13</v>
      </c>
      <c r="H17" s="31">
        <v>68052.95</v>
      </c>
      <c r="I17" s="31">
        <v>2428.7199999999998</v>
      </c>
      <c r="J17" s="23">
        <f t="shared" si="0"/>
        <v>923837.03999999992</v>
      </c>
      <c r="K17" s="24">
        <f t="shared" si="1"/>
        <v>13.57526808169227</v>
      </c>
      <c r="L17" s="25">
        <f t="shared" si="2"/>
        <v>0.23469267577817507</v>
      </c>
      <c r="M17" s="26">
        <f t="shared" si="3"/>
        <v>28.020088771039891</v>
      </c>
      <c r="N17" s="24">
        <f t="shared" si="4"/>
        <v>497.02936937975562</v>
      </c>
      <c r="O17" s="82"/>
    </row>
    <row r="18" spans="1:15" x14ac:dyDescent="0.25">
      <c r="A18" s="59" t="s">
        <v>117</v>
      </c>
      <c r="B18" s="21">
        <v>363</v>
      </c>
      <c r="C18" s="21" t="s">
        <v>100</v>
      </c>
      <c r="D18" s="21" t="s">
        <v>62</v>
      </c>
      <c r="E18" s="21" t="s">
        <v>27</v>
      </c>
      <c r="F18" s="24">
        <v>622538.86</v>
      </c>
      <c r="G18" s="24">
        <v>128263.86</v>
      </c>
      <c r="H18" s="23">
        <v>31338.09</v>
      </c>
      <c r="I18" s="27">
        <v>1310.48</v>
      </c>
      <c r="J18" s="304">
        <f t="shared" si="0"/>
        <v>494275</v>
      </c>
      <c r="K18" s="24">
        <f t="shared" si="1"/>
        <v>15.772339667159038</v>
      </c>
      <c r="L18" s="311">
        <f t="shared" si="2"/>
        <v>0.20603349965976422</v>
      </c>
      <c r="M18" s="26">
        <f t="shared" si="3"/>
        <v>23.913443928942065</v>
      </c>
      <c r="N18" s="24">
        <f t="shared" si="4"/>
        <v>475.04644099871803</v>
      </c>
      <c r="O18" s="82"/>
    </row>
    <row r="19" spans="1:15" x14ac:dyDescent="0.25">
      <c r="A19" s="59" t="s">
        <v>117</v>
      </c>
      <c r="B19" s="21">
        <v>578</v>
      </c>
      <c r="C19" s="21" t="s">
        <v>100</v>
      </c>
      <c r="D19" s="21" t="s">
        <v>62</v>
      </c>
      <c r="E19" s="21" t="s">
        <v>27</v>
      </c>
      <c r="F19" s="24">
        <v>242782.62</v>
      </c>
      <c r="G19" s="24">
        <v>44429.52</v>
      </c>
      <c r="H19" s="23">
        <v>11792.03</v>
      </c>
      <c r="I19" s="27">
        <v>570.22</v>
      </c>
      <c r="J19" s="304">
        <f t="shared" si="0"/>
        <v>198353.1</v>
      </c>
      <c r="K19" s="24">
        <f t="shared" si="1"/>
        <v>16.820946011840199</v>
      </c>
      <c r="L19" s="311">
        <f t="shared" si="2"/>
        <v>0.18300123789750683</v>
      </c>
      <c r="M19" s="26">
        <f t="shared" si="3"/>
        <v>20.67979025639227</v>
      </c>
      <c r="N19" s="24">
        <f t="shared" si="4"/>
        <v>425.77008873768017</v>
      </c>
      <c r="O19" s="82"/>
    </row>
    <row r="20" spans="1:15" x14ac:dyDescent="0.25">
      <c r="A20" s="59" t="s">
        <v>117</v>
      </c>
      <c r="B20" s="21">
        <v>667</v>
      </c>
      <c r="C20" s="21" t="s">
        <v>100</v>
      </c>
      <c r="D20" s="21" t="s">
        <v>62</v>
      </c>
      <c r="E20" s="21" t="s">
        <v>27</v>
      </c>
      <c r="F20" s="24">
        <v>354234.12</v>
      </c>
      <c r="G20" s="24">
        <v>55350.27</v>
      </c>
      <c r="H20" s="23">
        <v>15564.99</v>
      </c>
      <c r="I20" s="27">
        <v>749.62</v>
      </c>
      <c r="J20" s="304">
        <f t="shared" si="0"/>
        <v>298883.84999999998</v>
      </c>
      <c r="K20" s="24">
        <f t="shared" si="1"/>
        <v>19.202315581314217</v>
      </c>
      <c r="L20" s="311">
        <f t="shared" si="2"/>
        <v>0.15625335583144842</v>
      </c>
      <c r="M20" s="26">
        <f t="shared" si="3"/>
        <v>20.763840345775193</v>
      </c>
      <c r="N20" s="24">
        <f t="shared" si="4"/>
        <v>472.55158613697608</v>
      </c>
      <c r="O20" s="82"/>
    </row>
    <row r="21" spans="1:15" x14ac:dyDescent="0.25">
      <c r="A21" s="59" t="s">
        <v>117</v>
      </c>
      <c r="B21" s="21">
        <v>673</v>
      </c>
      <c r="C21" s="21" t="s">
        <v>100</v>
      </c>
      <c r="D21" s="21" t="s">
        <v>62</v>
      </c>
      <c r="E21" s="21" t="s">
        <v>27</v>
      </c>
      <c r="F21" s="24">
        <v>418662.75</v>
      </c>
      <c r="G21" s="24">
        <v>69478.23</v>
      </c>
      <c r="H21" s="23">
        <v>17003.14</v>
      </c>
      <c r="I21" s="27">
        <v>981.12</v>
      </c>
      <c r="J21" s="304">
        <f t="shared" si="0"/>
        <v>349184.52</v>
      </c>
      <c r="K21" s="24">
        <f t="shared" si="1"/>
        <v>20.536472675047083</v>
      </c>
      <c r="L21" s="311">
        <f t="shared" si="2"/>
        <v>0.1659527388094594</v>
      </c>
      <c r="M21" s="26">
        <f t="shared" si="3"/>
        <v>17.330336757990867</v>
      </c>
      <c r="N21" s="24">
        <f t="shared" si="4"/>
        <v>426.71920865949119</v>
      </c>
      <c r="O21" s="82"/>
    </row>
    <row r="22" spans="1:15" x14ac:dyDescent="0.25">
      <c r="A22" s="59" t="s">
        <v>117</v>
      </c>
      <c r="B22" s="21">
        <v>755</v>
      </c>
      <c r="C22" s="21" t="s">
        <v>100</v>
      </c>
      <c r="D22" s="21" t="s">
        <v>62</v>
      </c>
      <c r="E22" s="21" t="s">
        <v>27</v>
      </c>
      <c r="F22" s="24">
        <v>919564.64</v>
      </c>
      <c r="G22" s="24">
        <v>54297.19</v>
      </c>
      <c r="H22" s="23">
        <v>31674.59</v>
      </c>
      <c r="I22" s="27">
        <v>2613.2399999999998</v>
      </c>
      <c r="J22" s="304">
        <f t="shared" si="0"/>
        <v>865267.45</v>
      </c>
      <c r="K22" s="24">
        <f t="shared" si="1"/>
        <v>27.317400162085757</v>
      </c>
      <c r="L22" s="311">
        <f t="shared" si="2"/>
        <v>5.9046626673248337E-2</v>
      </c>
      <c r="M22" s="26">
        <f t="shared" si="3"/>
        <v>12.120811712663208</v>
      </c>
      <c r="N22" s="24">
        <f t="shared" si="4"/>
        <v>351.88679187522007</v>
      </c>
      <c r="O22" s="82"/>
    </row>
    <row r="23" spans="1:15" x14ac:dyDescent="0.25">
      <c r="A23" s="59" t="s">
        <v>117</v>
      </c>
      <c r="B23" s="21">
        <v>760</v>
      </c>
      <c r="C23" s="21" t="s">
        <v>100</v>
      </c>
      <c r="D23" s="21" t="s">
        <v>62</v>
      </c>
      <c r="E23" s="21" t="s">
        <v>27</v>
      </c>
      <c r="F23" s="24">
        <v>333954.07</v>
      </c>
      <c r="G23" s="24">
        <v>36680.269999999997</v>
      </c>
      <c r="H23" s="23">
        <v>11778.57</v>
      </c>
      <c r="I23" s="27">
        <v>844.2</v>
      </c>
      <c r="J23" s="304">
        <f t="shared" si="0"/>
        <v>297273.8</v>
      </c>
      <c r="K23" s="24">
        <f t="shared" si="1"/>
        <v>25.238530653551322</v>
      </c>
      <c r="L23" s="311">
        <f t="shared" si="2"/>
        <v>0.10983627179629821</v>
      </c>
      <c r="M23" s="26">
        <f t="shared" si="3"/>
        <v>13.95234541577825</v>
      </c>
      <c r="N23" s="24">
        <f t="shared" si="4"/>
        <v>395.58643686330254</v>
      </c>
      <c r="O23" s="82"/>
    </row>
    <row r="24" spans="1:15" x14ac:dyDescent="0.25">
      <c r="A24" s="59" t="s">
        <v>117</v>
      </c>
      <c r="B24" s="21">
        <v>761</v>
      </c>
      <c r="C24" s="21" t="s">
        <v>100</v>
      </c>
      <c r="D24" s="21" t="s">
        <v>62</v>
      </c>
      <c r="E24" s="21" t="s">
        <v>27</v>
      </c>
      <c r="F24" s="24">
        <v>278102.78999999998</v>
      </c>
      <c r="G24" s="24">
        <v>22804.87</v>
      </c>
      <c r="H24" s="23">
        <v>8692.08</v>
      </c>
      <c r="I24" s="27">
        <v>584.64</v>
      </c>
      <c r="J24" s="304">
        <f t="shared" si="0"/>
        <v>255297.91999999998</v>
      </c>
      <c r="K24" s="24">
        <f t="shared" si="1"/>
        <v>29.371326540943016</v>
      </c>
      <c r="L24" s="311">
        <f t="shared" si="2"/>
        <v>8.2001586535683443E-2</v>
      </c>
      <c r="M24" s="26">
        <f t="shared" si="3"/>
        <v>14.867405582922824</v>
      </c>
      <c r="N24" s="24">
        <f t="shared" si="4"/>
        <v>475.68211206896547</v>
      </c>
      <c r="O24" s="82"/>
    </row>
    <row r="25" spans="1:15" x14ac:dyDescent="0.25">
      <c r="A25" s="59" t="s">
        <v>117</v>
      </c>
      <c r="B25" s="21">
        <v>763</v>
      </c>
      <c r="C25" s="21" t="s">
        <v>100</v>
      </c>
      <c r="D25" s="21" t="s">
        <v>62</v>
      </c>
      <c r="E25" s="21" t="s">
        <v>27</v>
      </c>
      <c r="F25" s="24">
        <v>219799.3</v>
      </c>
      <c r="G25" s="24">
        <v>24763.33</v>
      </c>
      <c r="H25" s="23">
        <v>7898.98</v>
      </c>
      <c r="I25" s="27">
        <v>602.4</v>
      </c>
      <c r="J25" s="304">
        <f t="shared" si="0"/>
        <v>195035.96999999997</v>
      </c>
      <c r="K25" s="24">
        <f t="shared" si="1"/>
        <v>24.69128545710965</v>
      </c>
      <c r="L25" s="311">
        <f t="shared" si="2"/>
        <v>0.11266337062947882</v>
      </c>
      <c r="M25" s="26">
        <f t="shared" si="3"/>
        <v>13.112516600265604</v>
      </c>
      <c r="N25" s="24">
        <f t="shared" si="4"/>
        <v>364.87267596281538</v>
      </c>
      <c r="O25" s="82"/>
    </row>
    <row r="26" spans="1:15" x14ac:dyDescent="0.25">
      <c r="A26" s="59" t="s">
        <v>117</v>
      </c>
      <c r="B26" s="21">
        <v>764</v>
      </c>
      <c r="C26" s="21" t="s">
        <v>100</v>
      </c>
      <c r="D26" s="21" t="s">
        <v>62</v>
      </c>
      <c r="E26" s="21" t="s">
        <v>27</v>
      </c>
      <c r="F26" s="24">
        <v>152814.56</v>
      </c>
      <c r="G26" s="24">
        <v>28772.29</v>
      </c>
      <c r="H26" s="23">
        <v>8254.11</v>
      </c>
      <c r="I26" s="27">
        <v>370.44</v>
      </c>
      <c r="J26" s="304">
        <f t="shared" si="0"/>
        <v>124042.26999999999</v>
      </c>
      <c r="K26" s="24">
        <f t="shared" si="1"/>
        <v>15.027940020183882</v>
      </c>
      <c r="L26" s="311">
        <f t="shared" si="2"/>
        <v>0.18828238618100265</v>
      </c>
      <c r="M26" s="26">
        <f t="shared" si="3"/>
        <v>22.281908001295758</v>
      </c>
      <c r="N26" s="24">
        <f t="shared" si="4"/>
        <v>412.52175790951298</v>
      </c>
      <c r="O26" s="82"/>
    </row>
    <row r="27" spans="1:15" x14ac:dyDescent="0.25">
      <c r="A27" s="59" t="s">
        <v>117</v>
      </c>
      <c r="B27" s="21">
        <v>766</v>
      </c>
      <c r="C27" s="21" t="s">
        <v>100</v>
      </c>
      <c r="D27" s="21" t="s">
        <v>62</v>
      </c>
      <c r="E27" s="21" t="s">
        <v>27</v>
      </c>
      <c r="F27" s="24">
        <v>536287</v>
      </c>
      <c r="G27" s="24">
        <v>52390.11</v>
      </c>
      <c r="H27" s="23">
        <v>14561.7</v>
      </c>
      <c r="I27" s="27">
        <v>1305.3599999999999</v>
      </c>
      <c r="J27" s="304">
        <f t="shared" si="0"/>
        <v>483896.89</v>
      </c>
      <c r="K27" s="24">
        <f t="shared" si="1"/>
        <v>33.230796541612584</v>
      </c>
      <c r="L27" s="311">
        <f t="shared" si="2"/>
        <v>9.7690434412916971E-2</v>
      </c>
      <c r="M27" s="26">
        <f t="shared" si="3"/>
        <v>11.15531347674205</v>
      </c>
      <c r="N27" s="24">
        <f t="shared" si="4"/>
        <v>410.83455904884477</v>
      </c>
      <c r="O27" s="82"/>
    </row>
    <row r="28" spans="1:15" x14ac:dyDescent="0.25">
      <c r="A28" s="59" t="s">
        <v>117</v>
      </c>
      <c r="B28" s="21">
        <v>768</v>
      </c>
      <c r="C28" s="21" t="s">
        <v>100</v>
      </c>
      <c r="D28" s="21" t="s">
        <v>62</v>
      </c>
      <c r="E28" s="21" t="s">
        <v>27</v>
      </c>
      <c r="F28" s="24">
        <v>991254.7</v>
      </c>
      <c r="G28" s="24">
        <v>245016.78</v>
      </c>
      <c r="H28" s="23">
        <v>57557.22</v>
      </c>
      <c r="I28" s="27">
        <v>1850.22</v>
      </c>
      <c r="J28" s="304">
        <f t="shared" si="0"/>
        <v>746237.91999999993</v>
      </c>
      <c r="K28" s="24">
        <f t="shared" si="1"/>
        <v>12.965148768477698</v>
      </c>
      <c r="L28" s="311">
        <f t="shared" si="2"/>
        <v>0.24717842951967844</v>
      </c>
      <c r="M28" s="26">
        <f t="shared" si="3"/>
        <v>31.108311444044492</v>
      </c>
      <c r="N28" s="24">
        <f t="shared" si="4"/>
        <v>535.74964058328192</v>
      </c>
      <c r="O28" s="82"/>
    </row>
    <row r="29" spans="1:15" x14ac:dyDescent="0.25">
      <c r="A29" s="59" t="s">
        <v>117</v>
      </c>
      <c r="B29" s="21">
        <v>824</v>
      </c>
      <c r="C29" s="21" t="s">
        <v>100</v>
      </c>
      <c r="D29" s="21" t="s">
        <v>62</v>
      </c>
      <c r="E29" s="21" t="s">
        <v>27</v>
      </c>
      <c r="F29" s="24">
        <v>137990.85999999999</v>
      </c>
      <c r="G29" s="24">
        <v>19877.32</v>
      </c>
      <c r="H29" s="23">
        <v>8610.2900000000009</v>
      </c>
      <c r="I29" s="27">
        <v>370.44</v>
      </c>
      <c r="J29" s="304">
        <f t="shared" si="0"/>
        <v>118113.53999999998</v>
      </c>
      <c r="K29" s="24">
        <f t="shared" si="1"/>
        <v>13.71771914767098</v>
      </c>
      <c r="L29" s="311">
        <f t="shared" si="2"/>
        <v>0.14404809130111954</v>
      </c>
      <c r="M29" s="26">
        <f t="shared" si="3"/>
        <v>23.243413238311199</v>
      </c>
      <c r="N29" s="24">
        <f t="shared" si="4"/>
        <v>372.50529100529099</v>
      </c>
      <c r="O29" s="82"/>
    </row>
    <row r="30" spans="1:15" x14ac:dyDescent="0.25">
      <c r="A30" s="59" t="s">
        <v>117</v>
      </c>
      <c r="B30" s="21">
        <v>850</v>
      </c>
      <c r="C30" s="21" t="s">
        <v>100</v>
      </c>
      <c r="D30" s="21" t="s">
        <v>62</v>
      </c>
      <c r="E30" s="21" t="s">
        <v>27</v>
      </c>
      <c r="F30" s="24">
        <v>1726253.64</v>
      </c>
      <c r="G30" s="24">
        <v>361862.52</v>
      </c>
      <c r="H30" s="23">
        <v>86693.04</v>
      </c>
      <c r="I30" s="27">
        <v>3540.64</v>
      </c>
      <c r="J30" s="304">
        <f t="shared" si="0"/>
        <v>1364391.1199999999</v>
      </c>
      <c r="K30" s="24">
        <f t="shared" si="1"/>
        <v>15.738185210715878</v>
      </c>
      <c r="L30" s="311">
        <f t="shared" si="2"/>
        <v>0.20962303083108924</v>
      </c>
      <c r="M30" s="26">
        <f t="shared" si="3"/>
        <v>24.485132631388673</v>
      </c>
      <c r="N30" s="24">
        <f t="shared" si="4"/>
        <v>487.55412580776357</v>
      </c>
      <c r="O30" s="82"/>
    </row>
    <row r="31" spans="1:15" x14ac:dyDescent="0.25">
      <c r="A31" s="59" t="s">
        <v>117</v>
      </c>
      <c r="B31" s="21">
        <v>852</v>
      </c>
      <c r="C31" s="21" t="s">
        <v>100</v>
      </c>
      <c r="D31" s="21" t="s">
        <v>62</v>
      </c>
      <c r="E31" s="21" t="s">
        <v>59</v>
      </c>
      <c r="F31" s="24">
        <v>72828</v>
      </c>
      <c r="G31" s="305">
        <v>7320.21</v>
      </c>
      <c r="H31" s="23">
        <v>5235</v>
      </c>
      <c r="I31" s="27">
        <v>713.31</v>
      </c>
      <c r="J31" s="23">
        <f t="shared" si="0"/>
        <v>65507.79</v>
      </c>
      <c r="K31" s="24">
        <f t="shared" si="1"/>
        <v>12.513426934097421</v>
      </c>
      <c r="L31" s="311">
        <f t="shared" si="2"/>
        <v>0.10051367605865875</v>
      </c>
      <c r="M31" s="26">
        <f t="shared" si="3"/>
        <v>7.3390251082979354</v>
      </c>
      <c r="N31" s="24">
        <f t="shared" si="4"/>
        <v>102.09866677881988</v>
      </c>
      <c r="O31" s="82"/>
    </row>
    <row r="32" spans="1:15" x14ac:dyDescent="0.25">
      <c r="A32" s="59" t="s">
        <v>117</v>
      </c>
      <c r="B32" s="21">
        <v>467</v>
      </c>
      <c r="C32" s="21" t="s">
        <v>100</v>
      </c>
      <c r="D32" s="21" t="s">
        <v>62</v>
      </c>
      <c r="E32" s="21" t="s">
        <v>27</v>
      </c>
      <c r="F32" s="24">
        <v>649294</v>
      </c>
      <c r="G32" s="24">
        <v>82504.460000000006</v>
      </c>
      <c r="H32" s="27">
        <v>28795</v>
      </c>
      <c r="I32" s="27">
        <v>1738.8</v>
      </c>
      <c r="J32" s="23">
        <f t="shared" si="0"/>
        <v>566789.54</v>
      </c>
      <c r="K32" s="24">
        <f t="shared" si="1"/>
        <v>19.6836096544539</v>
      </c>
      <c r="L32" s="311">
        <f t="shared" si="2"/>
        <v>0.12706795380829025</v>
      </c>
      <c r="M32" s="26">
        <f t="shared" si="3"/>
        <v>16.560271451575801</v>
      </c>
      <c r="N32" s="24">
        <f t="shared" si="4"/>
        <v>373.41499884978145</v>
      </c>
      <c r="O32" s="82"/>
    </row>
    <row r="33" spans="1:15" x14ac:dyDescent="0.25">
      <c r="A33" s="59" t="s">
        <v>117</v>
      </c>
      <c r="B33" s="21">
        <v>852</v>
      </c>
      <c r="C33" s="21" t="s">
        <v>100</v>
      </c>
      <c r="D33" s="21" t="s">
        <v>62</v>
      </c>
      <c r="E33" s="21" t="s">
        <v>27</v>
      </c>
      <c r="F33" s="24">
        <v>746775</v>
      </c>
      <c r="G33" s="24">
        <v>124542.01</v>
      </c>
      <c r="H33" s="27">
        <v>68711</v>
      </c>
      <c r="I33" s="27">
        <v>7789.82</v>
      </c>
      <c r="J33" s="23">
        <f t="shared" si="0"/>
        <v>622232.99</v>
      </c>
      <c r="K33" s="24">
        <f t="shared" si="1"/>
        <v>9.0557987803990621</v>
      </c>
      <c r="L33" s="311">
        <f t="shared" si="2"/>
        <v>0.16677313782598507</v>
      </c>
      <c r="M33" s="26">
        <f t="shared" si="3"/>
        <v>8.8206145969996737</v>
      </c>
      <c r="N33" s="24">
        <f t="shared" si="4"/>
        <v>95.86550138514113</v>
      </c>
      <c r="O33" s="82"/>
    </row>
    <row r="34" spans="1:15" x14ac:dyDescent="0.25">
      <c r="A34" s="59" t="s">
        <v>8</v>
      </c>
      <c r="B34" s="21">
        <v>490</v>
      </c>
      <c r="C34" s="21" t="s">
        <v>100</v>
      </c>
      <c r="D34" s="21" t="s">
        <v>62</v>
      </c>
      <c r="E34" s="21" t="s">
        <v>27</v>
      </c>
      <c r="F34" s="24">
        <v>908646.97</v>
      </c>
      <c r="G34" s="24">
        <v>74099.73</v>
      </c>
      <c r="H34" s="27">
        <v>33676</v>
      </c>
      <c r="I34" s="27">
        <v>3694.36</v>
      </c>
      <c r="J34" s="23">
        <f t="shared" si="0"/>
        <v>834547.24</v>
      </c>
      <c r="K34" s="24">
        <f t="shared" si="1"/>
        <v>24.781661717543653</v>
      </c>
      <c r="L34" s="311">
        <f t="shared" si="2"/>
        <v>8.1549526324838792E-2</v>
      </c>
      <c r="M34" s="26">
        <f t="shared" si="3"/>
        <v>9.1155166253424138</v>
      </c>
      <c r="N34" s="24">
        <f t="shared" si="4"/>
        <v>245.95517762210503</v>
      </c>
      <c r="O34" s="82"/>
    </row>
    <row r="35" spans="1:15" x14ac:dyDescent="0.25">
      <c r="A35" s="59" t="s">
        <v>8</v>
      </c>
      <c r="B35" s="21">
        <v>477</v>
      </c>
      <c r="C35" s="21" t="s">
        <v>100</v>
      </c>
      <c r="D35" s="21" t="s">
        <v>62</v>
      </c>
      <c r="E35" s="21" t="s">
        <v>27</v>
      </c>
      <c r="F35" s="24">
        <v>1276632.22</v>
      </c>
      <c r="G35" s="24">
        <v>297617.90999999997</v>
      </c>
      <c r="H35" s="27">
        <v>135258</v>
      </c>
      <c r="I35" s="27">
        <v>5277.63</v>
      </c>
      <c r="J35" s="23">
        <f t="shared" si="0"/>
        <v>979014.31</v>
      </c>
      <c r="K35" s="24">
        <f t="shared" si="1"/>
        <v>7.2381249907584024</v>
      </c>
      <c r="L35" s="311">
        <f t="shared" si="2"/>
        <v>0.23312736850711788</v>
      </c>
      <c r="M35" s="26">
        <f t="shared" si="3"/>
        <v>25.628549178324359</v>
      </c>
      <c r="N35" s="24">
        <f t="shared" si="4"/>
        <v>241.89498316479177</v>
      </c>
      <c r="O35" s="82"/>
    </row>
    <row r="36" spans="1:15" x14ac:dyDescent="0.25">
      <c r="A36" s="59" t="s">
        <v>8</v>
      </c>
      <c r="B36" s="21">
        <v>460</v>
      </c>
      <c r="C36" s="21" t="s">
        <v>100</v>
      </c>
      <c r="D36" s="21" t="s">
        <v>62</v>
      </c>
      <c r="E36" s="21" t="s">
        <v>27</v>
      </c>
      <c r="F36" s="24">
        <v>1120189.6200000001</v>
      </c>
      <c r="G36" s="24">
        <v>220283.64</v>
      </c>
      <c r="H36" s="27">
        <v>100112</v>
      </c>
      <c r="I36" s="27">
        <v>4604.53</v>
      </c>
      <c r="J36" s="23">
        <f t="shared" si="0"/>
        <v>899905.9800000001</v>
      </c>
      <c r="K36" s="24">
        <f t="shared" si="1"/>
        <v>8.9889921288157275</v>
      </c>
      <c r="L36" s="311">
        <f t="shared" si="2"/>
        <v>0.19664852813044276</v>
      </c>
      <c r="M36" s="26">
        <f t="shared" si="3"/>
        <v>21.742067051360291</v>
      </c>
      <c r="N36" s="24">
        <f t="shared" si="4"/>
        <v>243.27990478941393</v>
      </c>
      <c r="O36" s="82"/>
    </row>
    <row r="37" spans="1:15" x14ac:dyDescent="0.25">
      <c r="A37" s="59" t="s">
        <v>8</v>
      </c>
      <c r="B37" s="21">
        <v>470</v>
      </c>
      <c r="C37" s="21" t="s">
        <v>100</v>
      </c>
      <c r="D37" s="21" t="s">
        <v>62</v>
      </c>
      <c r="E37" s="21" t="s">
        <v>27</v>
      </c>
      <c r="F37" s="24">
        <v>438129.18</v>
      </c>
      <c r="G37" s="24">
        <v>75147.100000000006</v>
      </c>
      <c r="H37" s="27">
        <v>34152</v>
      </c>
      <c r="I37" s="27">
        <v>1669.94</v>
      </c>
      <c r="J37" s="23">
        <f t="shared" si="0"/>
        <v>362982.07999999996</v>
      </c>
      <c r="K37" s="24">
        <f t="shared" si="1"/>
        <v>10.628428203326305</v>
      </c>
      <c r="L37" s="311">
        <f t="shared" si="2"/>
        <v>0.17151813535907379</v>
      </c>
      <c r="M37" s="26">
        <f t="shared" si="3"/>
        <v>20.451034168892296</v>
      </c>
      <c r="N37" s="24">
        <f t="shared" si="4"/>
        <v>262.36222858306286</v>
      </c>
      <c r="O37" s="82"/>
    </row>
    <row r="38" spans="1:15" x14ac:dyDescent="0.25">
      <c r="A38" s="59" t="s">
        <v>8</v>
      </c>
      <c r="B38" s="21">
        <v>465</v>
      </c>
      <c r="C38" s="21" t="s">
        <v>100</v>
      </c>
      <c r="D38" s="21" t="s">
        <v>62</v>
      </c>
      <c r="E38" s="21" t="s">
        <v>27</v>
      </c>
      <c r="F38" s="24">
        <v>1795421.54</v>
      </c>
      <c r="G38" s="24">
        <v>296585.94</v>
      </c>
      <c r="H38" s="27">
        <v>134789</v>
      </c>
      <c r="I38" s="27">
        <v>7509.74</v>
      </c>
      <c r="J38" s="23">
        <f t="shared" si="0"/>
        <v>1498835.6</v>
      </c>
      <c r="K38" s="24">
        <f t="shared" si="1"/>
        <v>11.119865864425138</v>
      </c>
      <c r="L38" s="311">
        <f t="shared" si="2"/>
        <v>0.16519014247762673</v>
      </c>
      <c r="M38" s="26">
        <f t="shared" si="3"/>
        <v>17.948557473361262</v>
      </c>
      <c r="N38" s="24">
        <f t="shared" si="4"/>
        <v>239.07905466767158</v>
      </c>
      <c r="O38" s="82"/>
    </row>
    <row r="39" spans="1:15" x14ac:dyDescent="0.25">
      <c r="A39" s="59" t="s">
        <v>8</v>
      </c>
      <c r="B39" s="21">
        <v>475</v>
      </c>
      <c r="C39" s="21" t="s">
        <v>100</v>
      </c>
      <c r="D39" s="21" t="s">
        <v>62</v>
      </c>
      <c r="E39" s="21" t="s">
        <v>27</v>
      </c>
      <c r="F39" s="24">
        <v>1123757.29</v>
      </c>
      <c r="G39" s="24">
        <v>151150.15</v>
      </c>
      <c r="H39" s="27">
        <v>68693</v>
      </c>
      <c r="I39" s="27">
        <v>4619.88</v>
      </c>
      <c r="J39" s="23">
        <f t="shared" si="0"/>
        <v>972607.14</v>
      </c>
      <c r="K39" s="24">
        <f t="shared" si="1"/>
        <v>14.158751837887412</v>
      </c>
      <c r="L39" s="311">
        <f t="shared" si="2"/>
        <v>0.13450426648622674</v>
      </c>
      <c r="M39" s="26">
        <f t="shared" si="3"/>
        <v>14.869000926430989</v>
      </c>
      <c r="N39" s="24">
        <f t="shared" si="4"/>
        <v>243.24382667948086</v>
      </c>
      <c r="O39" s="82"/>
    </row>
    <row r="40" spans="1:15" x14ac:dyDescent="0.25">
      <c r="A40" s="59" t="s">
        <v>8</v>
      </c>
      <c r="B40" s="21">
        <v>480</v>
      </c>
      <c r="C40" s="21" t="s">
        <v>100</v>
      </c>
      <c r="D40" s="21" t="s">
        <v>62</v>
      </c>
      <c r="E40" s="21" t="s">
        <v>27</v>
      </c>
      <c r="F40" s="24">
        <v>584422.68999999994</v>
      </c>
      <c r="G40" s="24">
        <v>51983.79</v>
      </c>
      <c r="H40" s="27">
        <v>23625</v>
      </c>
      <c r="I40" s="27">
        <v>2514.5</v>
      </c>
      <c r="J40" s="23">
        <f t="shared" si="0"/>
        <v>532438.89999999991</v>
      </c>
      <c r="K40" s="24">
        <f t="shared" si="1"/>
        <v>22.537096296296291</v>
      </c>
      <c r="L40" s="311">
        <f t="shared" si="2"/>
        <v>8.8948959185688029E-2</v>
      </c>
      <c r="M40" s="26">
        <f t="shared" si="3"/>
        <v>9.395506064824021</v>
      </c>
      <c r="N40" s="24">
        <f t="shared" si="4"/>
        <v>232.42103400278384</v>
      </c>
      <c r="O40" s="82"/>
    </row>
    <row r="41" spans="1:15" x14ac:dyDescent="0.25">
      <c r="A41" s="59" t="s">
        <v>8</v>
      </c>
      <c r="B41" s="21">
        <v>472</v>
      </c>
      <c r="C41" s="21" t="s">
        <v>100</v>
      </c>
      <c r="D41" s="21" t="s">
        <v>62</v>
      </c>
      <c r="E41" s="21" t="s">
        <v>27</v>
      </c>
      <c r="F41" s="24">
        <v>415354.24</v>
      </c>
      <c r="G41" s="24">
        <v>38108.239999999998</v>
      </c>
      <c r="H41" s="27">
        <v>17319</v>
      </c>
      <c r="I41" s="27">
        <v>1571.95</v>
      </c>
      <c r="J41" s="23">
        <f t="shared" si="0"/>
        <v>377246</v>
      </c>
      <c r="K41" s="24">
        <f t="shared" si="1"/>
        <v>21.782204515272245</v>
      </c>
      <c r="L41" s="311">
        <f t="shared" si="2"/>
        <v>9.1748768472906403E-2</v>
      </c>
      <c r="M41" s="26">
        <f t="shared" si="3"/>
        <v>11.017526002735456</v>
      </c>
      <c r="N41" s="24">
        <f t="shared" si="4"/>
        <v>264.22865867234964</v>
      </c>
      <c r="O41" s="82"/>
    </row>
    <row r="42" spans="1:15" x14ac:dyDescent="0.25">
      <c r="A42" s="59" t="s">
        <v>8</v>
      </c>
      <c r="B42" s="21">
        <v>493</v>
      </c>
      <c r="C42" s="21" t="s">
        <v>100</v>
      </c>
      <c r="D42" s="21" t="s">
        <v>62</v>
      </c>
      <c r="E42" s="21" t="s">
        <v>27</v>
      </c>
      <c r="F42" s="24">
        <v>325553.73</v>
      </c>
      <c r="G42" s="24">
        <v>29707.22</v>
      </c>
      <c r="H42" s="27">
        <v>13501</v>
      </c>
      <c r="I42" s="27">
        <v>1185.58</v>
      </c>
      <c r="J42" s="23">
        <f t="shared" si="0"/>
        <v>295846.51</v>
      </c>
      <c r="K42" s="24">
        <f t="shared" si="1"/>
        <v>21.912933116065478</v>
      </c>
      <c r="L42" s="311">
        <f t="shared" si="2"/>
        <v>9.1251358109151456E-2</v>
      </c>
      <c r="M42" s="26">
        <f t="shared" si="3"/>
        <v>11.387675230688778</v>
      </c>
      <c r="N42" s="24">
        <f t="shared" si="4"/>
        <v>274.59448539955127</v>
      </c>
      <c r="O42" s="82"/>
    </row>
    <row r="43" spans="1:15" x14ac:dyDescent="0.25">
      <c r="A43" s="59" t="s">
        <v>8</v>
      </c>
      <c r="B43" s="21">
        <v>484</v>
      </c>
      <c r="C43" s="21" t="s">
        <v>100</v>
      </c>
      <c r="D43" s="21" t="s">
        <v>62</v>
      </c>
      <c r="E43" s="21" t="s">
        <v>27</v>
      </c>
      <c r="F43" s="24">
        <v>196413.63</v>
      </c>
      <c r="G43" s="24">
        <v>7923.54</v>
      </c>
      <c r="H43" s="27">
        <v>3601</v>
      </c>
      <c r="I43" s="27">
        <v>629.95000000000005</v>
      </c>
      <c r="J43" s="23">
        <f t="shared" si="0"/>
        <v>188490.09</v>
      </c>
      <c r="K43" s="24">
        <f t="shared" si="1"/>
        <v>52.343818383782285</v>
      </c>
      <c r="L43" s="311">
        <f t="shared" si="2"/>
        <v>4.0341090381558552E-2</v>
      </c>
      <c r="M43" s="26">
        <f t="shared" si="3"/>
        <v>5.7163266925946496</v>
      </c>
      <c r="N43" s="24">
        <f t="shared" si="4"/>
        <v>311.79241209619812</v>
      </c>
      <c r="O43" s="82"/>
    </row>
    <row r="44" spans="1:15" x14ac:dyDescent="0.25">
      <c r="A44" s="59" t="s">
        <v>101</v>
      </c>
      <c r="B44" s="21">
        <v>747</v>
      </c>
      <c r="C44" s="21" t="s">
        <v>100</v>
      </c>
      <c r="D44" s="21" t="s">
        <v>62</v>
      </c>
      <c r="E44" s="21" t="s">
        <v>27</v>
      </c>
      <c r="F44" s="24">
        <v>1332150.18</v>
      </c>
      <c r="G44" s="24">
        <v>65272.2</v>
      </c>
      <c r="H44" s="27">
        <v>29367</v>
      </c>
      <c r="I44" s="27">
        <v>3968.25</v>
      </c>
      <c r="J44" s="23">
        <f t="shared" si="0"/>
        <v>1266877.98</v>
      </c>
      <c r="K44" s="24">
        <f t="shared" si="1"/>
        <v>43.139509653692919</v>
      </c>
      <c r="L44" s="311">
        <f t="shared" si="2"/>
        <v>4.8997628780863133E-2</v>
      </c>
      <c r="M44" s="26">
        <f t="shared" si="3"/>
        <v>7.4004914004914006</v>
      </c>
      <c r="N44" s="24">
        <f t="shared" si="4"/>
        <v>335.70218106218107</v>
      </c>
      <c r="O44" s="82"/>
    </row>
    <row r="45" spans="1:15" x14ac:dyDescent="0.25">
      <c r="A45" s="59" t="s">
        <v>101</v>
      </c>
      <c r="B45" s="21">
        <v>774</v>
      </c>
      <c r="C45" s="21" t="s">
        <v>100</v>
      </c>
      <c r="D45" s="21" t="s">
        <v>62</v>
      </c>
      <c r="E45" s="21" t="s">
        <v>27</v>
      </c>
      <c r="F45" s="24">
        <v>842325.02</v>
      </c>
      <c r="G45" s="24">
        <v>139542.93</v>
      </c>
      <c r="H45" s="27">
        <v>62987</v>
      </c>
      <c r="I45" s="27">
        <v>4608.26</v>
      </c>
      <c r="J45" s="23">
        <f t="shared" si="0"/>
        <v>702782.09000000008</v>
      </c>
      <c r="K45" s="24">
        <f t="shared" si="1"/>
        <v>11.157573626303842</v>
      </c>
      <c r="L45" s="311">
        <f t="shared" si="2"/>
        <v>0.1656639974911347</v>
      </c>
      <c r="M45" s="26">
        <f t="shared" si="3"/>
        <v>13.668282605582149</v>
      </c>
      <c r="N45" s="24">
        <f t="shared" si="4"/>
        <v>182.78591485723462</v>
      </c>
      <c r="O45" s="82"/>
    </row>
    <row r="46" spans="1:15" x14ac:dyDescent="0.25">
      <c r="A46" s="59" t="s">
        <v>101</v>
      </c>
      <c r="B46" s="21">
        <v>776</v>
      </c>
      <c r="C46" s="21" t="s">
        <v>100</v>
      </c>
      <c r="D46" s="21" t="s">
        <v>62</v>
      </c>
      <c r="E46" s="21" t="s">
        <v>27</v>
      </c>
      <c r="F46" s="24">
        <v>479425.72</v>
      </c>
      <c r="G46" s="24">
        <v>52250.73</v>
      </c>
      <c r="H46" s="27">
        <v>23580</v>
      </c>
      <c r="I46" s="27">
        <v>2511.37</v>
      </c>
      <c r="J46" s="23">
        <f t="shared" si="0"/>
        <v>427174.99</v>
      </c>
      <c r="K46" s="24">
        <f t="shared" si="1"/>
        <v>18.115987701441899</v>
      </c>
      <c r="L46" s="311">
        <f t="shared" si="2"/>
        <v>0.10898608026286118</v>
      </c>
      <c r="M46" s="26">
        <f t="shared" si="3"/>
        <v>9.3892974750833211</v>
      </c>
      <c r="N46" s="24">
        <f t="shared" si="4"/>
        <v>190.90206540653111</v>
      </c>
      <c r="O46" s="82"/>
    </row>
    <row r="47" spans="1:15" x14ac:dyDescent="0.25">
      <c r="A47" s="59" t="s">
        <v>101</v>
      </c>
      <c r="B47" s="21">
        <v>777</v>
      </c>
      <c r="C47" s="21" t="s">
        <v>100</v>
      </c>
      <c r="D47" s="21" t="s">
        <v>62</v>
      </c>
      <c r="E47" s="21" t="s">
        <v>27</v>
      </c>
      <c r="F47" s="24">
        <v>466052.19</v>
      </c>
      <c r="G47" s="24">
        <v>44096.08</v>
      </c>
      <c r="H47" s="27">
        <v>19367</v>
      </c>
      <c r="I47" s="27">
        <v>2460.91</v>
      </c>
      <c r="J47" s="23">
        <f t="shared" si="0"/>
        <v>421956.11</v>
      </c>
      <c r="K47" s="24">
        <f t="shared" si="1"/>
        <v>21.787375948778848</v>
      </c>
      <c r="L47" s="311">
        <f t="shared" si="2"/>
        <v>9.4616184509292836E-2</v>
      </c>
      <c r="M47" s="26">
        <f t="shared" si="3"/>
        <v>7.8698530218496412</v>
      </c>
      <c r="N47" s="24">
        <f t="shared" si="4"/>
        <v>189.38205379310907</v>
      </c>
      <c r="O47" s="82"/>
    </row>
    <row r="48" spans="1:15" x14ac:dyDescent="0.25">
      <c r="A48" s="59" t="s">
        <v>101</v>
      </c>
      <c r="B48" s="21">
        <v>790</v>
      </c>
      <c r="C48" s="21" t="s">
        <v>100</v>
      </c>
      <c r="D48" s="21" t="s">
        <v>62</v>
      </c>
      <c r="E48" s="21" t="s">
        <v>27</v>
      </c>
      <c r="F48" s="24">
        <v>521097.96</v>
      </c>
      <c r="G48" s="24">
        <v>40882.15</v>
      </c>
      <c r="H48" s="27">
        <v>19109</v>
      </c>
      <c r="I48" s="27">
        <v>2795.34</v>
      </c>
      <c r="J48" s="23">
        <f t="shared" si="0"/>
        <v>480215.81</v>
      </c>
      <c r="K48" s="24">
        <f t="shared" si="1"/>
        <v>25.130347480244911</v>
      </c>
      <c r="L48" s="311">
        <f t="shared" si="2"/>
        <v>7.8453866908248876E-2</v>
      </c>
      <c r="M48" s="26">
        <f t="shared" si="3"/>
        <v>6.8360199474840266</v>
      </c>
      <c r="N48" s="24">
        <f t="shared" si="4"/>
        <v>186.41666487797548</v>
      </c>
      <c r="O48" s="82"/>
    </row>
    <row r="49" spans="1:15" x14ac:dyDescent="0.25">
      <c r="A49" s="59" t="s">
        <v>101</v>
      </c>
      <c r="B49" s="21">
        <v>795</v>
      </c>
      <c r="C49" s="21" t="s">
        <v>100</v>
      </c>
      <c r="D49" s="21" t="s">
        <v>62</v>
      </c>
      <c r="E49" s="21" t="s">
        <v>27</v>
      </c>
      <c r="F49" s="24">
        <v>130652.1</v>
      </c>
      <c r="G49" s="24">
        <v>11733.79</v>
      </c>
      <c r="H49" s="27">
        <v>5020</v>
      </c>
      <c r="I49" s="27">
        <v>505.05</v>
      </c>
      <c r="J49" s="23">
        <f t="shared" si="0"/>
        <v>118918.31</v>
      </c>
      <c r="K49" s="24">
        <f t="shared" si="1"/>
        <v>23.688906374501993</v>
      </c>
      <c r="L49" s="311">
        <f t="shared" si="2"/>
        <v>8.9809425183368666E-2</v>
      </c>
      <c r="M49" s="26">
        <f t="shared" si="3"/>
        <v>9.9396099396099391</v>
      </c>
      <c r="N49" s="24">
        <f t="shared" si="4"/>
        <v>258.69141669141669</v>
      </c>
      <c r="O49" s="82"/>
    </row>
    <row r="50" spans="1:15" x14ac:dyDescent="0.25">
      <c r="A50" s="59" t="s">
        <v>28</v>
      </c>
      <c r="B50" s="21">
        <v>600</v>
      </c>
      <c r="C50" s="21" t="s">
        <v>100</v>
      </c>
      <c r="D50" s="21" t="s">
        <v>62</v>
      </c>
      <c r="E50" s="21" t="s">
        <v>27</v>
      </c>
      <c r="F50" s="24">
        <v>142986.82999999999</v>
      </c>
      <c r="G50" s="24">
        <v>13364</v>
      </c>
      <c r="H50" s="27">
        <v>4922</v>
      </c>
      <c r="I50" s="27">
        <v>603</v>
      </c>
      <c r="J50" s="23">
        <f t="shared" si="0"/>
        <v>129622.82999999999</v>
      </c>
      <c r="K50" s="24">
        <f t="shared" si="1"/>
        <v>26.335398212108895</v>
      </c>
      <c r="L50" s="311">
        <f t="shared" si="2"/>
        <v>9.346315321488001E-2</v>
      </c>
      <c r="M50" s="26">
        <f t="shared" si="3"/>
        <v>8.1625207296849087</v>
      </c>
      <c r="N50" s="24">
        <f t="shared" si="4"/>
        <v>237.12575456053065</v>
      </c>
      <c r="O50" s="82"/>
    </row>
    <row r="51" spans="1:15" x14ac:dyDescent="0.25">
      <c r="A51" s="59" t="s">
        <v>28</v>
      </c>
      <c r="B51" s="21">
        <v>695</v>
      </c>
      <c r="C51" s="21" t="s">
        <v>100</v>
      </c>
      <c r="D51" s="21" t="s">
        <v>62</v>
      </c>
      <c r="E51" s="21" t="s">
        <v>27</v>
      </c>
      <c r="F51" s="24">
        <v>615493.77</v>
      </c>
      <c r="G51" s="24">
        <v>110048</v>
      </c>
      <c r="H51" s="27">
        <v>40531</v>
      </c>
      <c r="I51" s="27">
        <v>2595.5</v>
      </c>
      <c r="J51" s="23">
        <f t="shared" si="0"/>
        <v>505445.77</v>
      </c>
      <c r="K51" s="24">
        <f t="shared" si="1"/>
        <v>12.470597073844711</v>
      </c>
      <c r="L51" s="311">
        <f t="shared" si="2"/>
        <v>0.17879628578531348</v>
      </c>
      <c r="M51" s="26">
        <f t="shared" si="3"/>
        <v>15.615873627432094</v>
      </c>
      <c r="N51" s="24">
        <f t="shared" si="4"/>
        <v>237.1388056251204</v>
      </c>
      <c r="O51" s="82"/>
    </row>
    <row r="52" spans="1:15" x14ac:dyDescent="0.25">
      <c r="A52" s="59" t="s">
        <v>28</v>
      </c>
      <c r="B52" s="21">
        <v>698</v>
      </c>
      <c r="C52" s="21" t="s">
        <v>100</v>
      </c>
      <c r="D52" s="21" t="s">
        <v>62</v>
      </c>
      <c r="E52" s="21" t="s">
        <v>27</v>
      </c>
      <c r="F52" s="24">
        <v>2564191.06</v>
      </c>
      <c r="G52" s="24">
        <v>486667</v>
      </c>
      <c r="H52" s="27">
        <v>179241</v>
      </c>
      <c r="I52" s="27">
        <v>10813.5</v>
      </c>
      <c r="J52" s="23">
        <f t="shared" si="0"/>
        <v>2077524.06</v>
      </c>
      <c r="K52" s="24">
        <f t="shared" si="1"/>
        <v>11.590674343481682</v>
      </c>
      <c r="L52" s="311">
        <f t="shared" si="2"/>
        <v>0.18979357957827059</v>
      </c>
      <c r="M52" s="26">
        <f t="shared" si="3"/>
        <v>16.575669302261062</v>
      </c>
      <c r="N52" s="24">
        <f t="shared" si="4"/>
        <v>237.12868728903686</v>
      </c>
      <c r="O52" s="82"/>
    </row>
    <row r="53" spans="1:15" x14ac:dyDescent="0.25">
      <c r="A53" s="59" t="s">
        <v>117</v>
      </c>
      <c r="B53" s="21">
        <v>2</v>
      </c>
      <c r="C53" s="21" t="s">
        <v>100</v>
      </c>
      <c r="D53" s="21" t="s">
        <v>17</v>
      </c>
      <c r="E53" s="21" t="s">
        <v>27</v>
      </c>
      <c r="F53" s="24">
        <v>9256759.2599999998</v>
      </c>
      <c r="G53" s="24">
        <v>925664.53</v>
      </c>
      <c r="H53" s="27">
        <v>1036970.1</v>
      </c>
      <c r="I53" s="27">
        <v>30195.38</v>
      </c>
      <c r="J53" s="23">
        <f t="shared" si="0"/>
        <v>8331094.7299999995</v>
      </c>
      <c r="K53" s="24">
        <f t="shared" si="1"/>
        <v>8.0340742032967007</v>
      </c>
      <c r="L53" s="311">
        <f t="shared" si="2"/>
        <v>9.9998768899602991E-2</v>
      </c>
      <c r="M53" s="26">
        <f t="shared" si="3"/>
        <v>34.342011923678392</v>
      </c>
      <c r="N53" s="24">
        <f t="shared" si="4"/>
        <v>306.56210519622539</v>
      </c>
      <c r="O53" s="82"/>
    </row>
    <row r="54" spans="1:15" x14ac:dyDescent="0.25">
      <c r="A54" s="59" t="s">
        <v>117</v>
      </c>
      <c r="B54" s="21">
        <v>3</v>
      </c>
      <c r="C54" s="21" t="s">
        <v>100</v>
      </c>
      <c r="D54" s="21" t="s">
        <v>17</v>
      </c>
      <c r="E54" s="21" t="s">
        <v>27</v>
      </c>
      <c r="F54" s="24">
        <v>12731743.42</v>
      </c>
      <c r="G54" s="24">
        <v>1314327.28</v>
      </c>
      <c r="H54" s="27">
        <v>1219341.27</v>
      </c>
      <c r="I54" s="27">
        <v>42975.360000000001</v>
      </c>
      <c r="J54" s="23">
        <f t="shared" si="0"/>
        <v>11417416.140000001</v>
      </c>
      <c r="K54" s="24">
        <f t="shared" si="1"/>
        <v>9.3635936229731644</v>
      </c>
      <c r="L54" s="311">
        <f t="shared" si="2"/>
        <v>0.10323230971929216</v>
      </c>
      <c r="M54" s="26">
        <f t="shared" si="3"/>
        <v>28.373032128177634</v>
      </c>
      <c r="N54" s="24">
        <f t="shared" si="4"/>
        <v>296.2568183256638</v>
      </c>
      <c r="O54" s="82"/>
    </row>
    <row r="55" spans="1:15" x14ac:dyDescent="0.25">
      <c r="A55" s="59" t="s">
        <v>117</v>
      </c>
      <c r="B55" s="21">
        <v>4</v>
      </c>
      <c r="C55" s="21" t="s">
        <v>100</v>
      </c>
      <c r="D55" s="21" t="s">
        <v>17</v>
      </c>
      <c r="E55" s="21" t="s">
        <v>27</v>
      </c>
      <c r="F55" s="24">
        <v>10212737.08</v>
      </c>
      <c r="G55" s="24">
        <v>960505.28</v>
      </c>
      <c r="H55" s="27">
        <v>761777.42</v>
      </c>
      <c r="I55" s="27">
        <v>34180.71</v>
      </c>
      <c r="J55" s="23">
        <f t="shared" si="0"/>
        <v>9252231.8000000007</v>
      </c>
      <c r="K55" s="24">
        <f t="shared" si="1"/>
        <v>12.145584204898066</v>
      </c>
      <c r="L55" s="311">
        <f t="shared" si="2"/>
        <v>9.4049741266814244E-2</v>
      </c>
      <c r="M55" s="26">
        <f t="shared" si="3"/>
        <v>22.286764084186668</v>
      </c>
      <c r="N55" s="24">
        <f t="shared" si="4"/>
        <v>298.78656938372552</v>
      </c>
      <c r="O55" s="82"/>
    </row>
    <row r="56" spans="1:15" x14ac:dyDescent="0.25">
      <c r="A56" s="59" t="s">
        <v>117</v>
      </c>
      <c r="B56" s="21">
        <v>6</v>
      </c>
      <c r="C56" s="21" t="s">
        <v>100</v>
      </c>
      <c r="D56" s="21" t="s">
        <v>17</v>
      </c>
      <c r="E56" s="21" t="s">
        <v>27</v>
      </c>
      <c r="F56" s="24">
        <v>12201494.98</v>
      </c>
      <c r="G56" s="24">
        <v>973591.64</v>
      </c>
      <c r="H56" s="27">
        <v>808040.63</v>
      </c>
      <c r="I56" s="27">
        <v>39709.089999999997</v>
      </c>
      <c r="J56" s="23">
        <f t="shared" si="0"/>
        <v>11227903.34</v>
      </c>
      <c r="K56" s="24">
        <f t="shared" si="1"/>
        <v>13.895221258861698</v>
      </c>
      <c r="L56" s="311">
        <f t="shared" si="2"/>
        <v>7.9792815683312271E-2</v>
      </c>
      <c r="M56" s="26">
        <f t="shared" si="3"/>
        <v>20.34900900524288</v>
      </c>
      <c r="N56" s="24">
        <f t="shared" si="4"/>
        <v>307.27208757491047</v>
      </c>
      <c r="O56" s="82"/>
    </row>
    <row r="57" spans="1:15" x14ac:dyDescent="0.25">
      <c r="A57" s="59" t="s">
        <v>117</v>
      </c>
      <c r="B57" s="21">
        <v>7</v>
      </c>
      <c r="C57" s="21" t="s">
        <v>100</v>
      </c>
      <c r="D57" s="21" t="s">
        <v>17</v>
      </c>
      <c r="E57" s="21" t="s">
        <v>27</v>
      </c>
      <c r="F57" s="24">
        <v>5229647.17</v>
      </c>
      <c r="G57" s="24">
        <v>284026.68</v>
      </c>
      <c r="H57" s="27">
        <v>269220.56</v>
      </c>
      <c r="I57" s="27">
        <v>17979</v>
      </c>
      <c r="J57" s="23">
        <f t="shared" si="0"/>
        <v>4945620.49</v>
      </c>
      <c r="K57" s="24">
        <f t="shared" si="1"/>
        <v>18.370144130151132</v>
      </c>
      <c r="L57" s="311">
        <f t="shared" si="2"/>
        <v>5.431086854756207E-2</v>
      </c>
      <c r="M57" s="26">
        <f t="shared" si="3"/>
        <v>14.974167640024472</v>
      </c>
      <c r="N57" s="24">
        <f t="shared" si="4"/>
        <v>290.87530841537347</v>
      </c>
      <c r="O57" s="82"/>
    </row>
    <row r="58" spans="1:15" x14ac:dyDescent="0.25">
      <c r="A58" s="59" t="s">
        <v>117</v>
      </c>
      <c r="B58" s="21">
        <v>9</v>
      </c>
      <c r="C58" s="21" t="s">
        <v>100</v>
      </c>
      <c r="D58" s="21" t="s">
        <v>17</v>
      </c>
      <c r="E58" s="21" t="s">
        <v>27</v>
      </c>
      <c r="F58" s="24">
        <v>5993538.1399999997</v>
      </c>
      <c r="G58" s="24">
        <v>347036.01</v>
      </c>
      <c r="H58" s="27">
        <v>321268.47999999998</v>
      </c>
      <c r="I58" s="27">
        <v>19287.72</v>
      </c>
      <c r="J58" s="23">
        <f t="shared" si="0"/>
        <v>5646502.1299999999</v>
      </c>
      <c r="K58" s="24">
        <f t="shared" si="1"/>
        <v>17.575649282494194</v>
      </c>
      <c r="L58" s="311">
        <f t="shared" si="2"/>
        <v>5.790169377315417E-2</v>
      </c>
      <c r="M58" s="26">
        <f t="shared" si="3"/>
        <v>16.656633339762294</v>
      </c>
      <c r="N58" s="24">
        <f t="shared" si="4"/>
        <v>310.74373435533073</v>
      </c>
      <c r="O58" s="82"/>
    </row>
    <row r="59" spans="1:15" x14ac:dyDescent="0.25">
      <c r="A59" s="59" t="s">
        <v>117</v>
      </c>
      <c r="B59" s="21">
        <v>10</v>
      </c>
      <c r="C59" s="21" t="s">
        <v>100</v>
      </c>
      <c r="D59" s="21" t="s">
        <v>17</v>
      </c>
      <c r="E59" s="21" t="s">
        <v>27</v>
      </c>
      <c r="F59" s="24">
        <v>12654876.210000001</v>
      </c>
      <c r="G59" s="24">
        <v>885874.74</v>
      </c>
      <c r="H59" s="27">
        <v>1043975.53</v>
      </c>
      <c r="I59" s="27">
        <v>41753.58</v>
      </c>
      <c r="J59" s="23">
        <f t="shared" si="0"/>
        <v>11769001.470000001</v>
      </c>
      <c r="K59" s="24">
        <f t="shared" si="1"/>
        <v>11.273254144184778</v>
      </c>
      <c r="L59" s="311">
        <f t="shared" si="2"/>
        <v>7.0002639717642881E-2</v>
      </c>
      <c r="M59" s="26">
        <f t="shared" si="3"/>
        <v>25.003257924230688</v>
      </c>
      <c r="N59" s="24">
        <f t="shared" si="4"/>
        <v>303.08481835569552</v>
      </c>
      <c r="O59" s="82"/>
    </row>
    <row r="60" spans="1:15" x14ac:dyDescent="0.25">
      <c r="A60" s="59" t="s">
        <v>117</v>
      </c>
      <c r="B60" s="21">
        <v>11</v>
      </c>
      <c r="C60" s="21" t="s">
        <v>100</v>
      </c>
      <c r="D60" s="21" t="s">
        <v>17</v>
      </c>
      <c r="E60" s="21" t="s">
        <v>27</v>
      </c>
      <c r="F60" s="24">
        <v>9677820.1199999992</v>
      </c>
      <c r="G60" s="24">
        <v>746738.76</v>
      </c>
      <c r="H60" s="27">
        <v>686532.67</v>
      </c>
      <c r="I60" s="27">
        <v>32272.46</v>
      </c>
      <c r="J60" s="23">
        <f t="shared" si="0"/>
        <v>8931081.3599999994</v>
      </c>
      <c r="K60" s="24">
        <f t="shared" si="1"/>
        <v>13.008967745118378</v>
      </c>
      <c r="L60" s="311">
        <f t="shared" si="2"/>
        <v>7.715980982709153E-2</v>
      </c>
      <c r="M60" s="26">
        <f t="shared" si="3"/>
        <v>21.273019472330279</v>
      </c>
      <c r="N60" s="24">
        <f t="shared" si="4"/>
        <v>299.87859989601037</v>
      </c>
      <c r="O60" s="82"/>
    </row>
    <row r="61" spans="1:15" x14ac:dyDescent="0.25">
      <c r="A61" s="59" t="s">
        <v>117</v>
      </c>
      <c r="B61" s="21">
        <v>14</v>
      </c>
      <c r="C61" s="21" t="s">
        <v>100</v>
      </c>
      <c r="D61" s="21" t="s">
        <v>17</v>
      </c>
      <c r="E61" s="21" t="s">
        <v>27</v>
      </c>
      <c r="F61" s="24">
        <v>9466316.8100000005</v>
      </c>
      <c r="G61" s="24">
        <v>709441.21</v>
      </c>
      <c r="H61" s="27">
        <v>706107.71</v>
      </c>
      <c r="I61" s="27">
        <v>32885.300000000003</v>
      </c>
      <c r="J61" s="23">
        <f t="shared" si="0"/>
        <v>8756875.6000000015</v>
      </c>
      <c r="K61" s="24">
        <f t="shared" si="1"/>
        <v>12.401614478901529</v>
      </c>
      <c r="L61" s="311">
        <f t="shared" si="2"/>
        <v>7.4943742559995724E-2</v>
      </c>
      <c r="M61" s="26">
        <f t="shared" si="3"/>
        <v>21.471834223802123</v>
      </c>
      <c r="N61" s="24">
        <f t="shared" si="4"/>
        <v>287.8586119025826</v>
      </c>
      <c r="O61" s="82"/>
    </row>
    <row r="62" spans="1:15" x14ac:dyDescent="0.25">
      <c r="A62" s="59" t="s">
        <v>117</v>
      </c>
      <c r="B62" s="21">
        <v>17</v>
      </c>
      <c r="C62" s="21" t="s">
        <v>100</v>
      </c>
      <c r="D62" s="21" t="s">
        <v>17</v>
      </c>
      <c r="E62" s="21" t="s">
        <v>27</v>
      </c>
      <c r="F62" s="24">
        <v>11530654.130000001</v>
      </c>
      <c r="G62" s="24">
        <v>787599.09</v>
      </c>
      <c r="H62" s="27">
        <v>784528</v>
      </c>
      <c r="I62" s="27">
        <v>37668.36</v>
      </c>
      <c r="J62" s="23">
        <f t="shared" si="0"/>
        <v>10743055.040000001</v>
      </c>
      <c r="K62" s="24">
        <f t="shared" si="1"/>
        <v>13.693654069708156</v>
      </c>
      <c r="L62" s="311">
        <f t="shared" si="2"/>
        <v>6.8304805704895416E-2</v>
      </c>
      <c r="M62" s="26">
        <f t="shared" si="3"/>
        <v>20.827240686878856</v>
      </c>
      <c r="N62" s="24">
        <f t="shared" si="4"/>
        <v>306.10979957715176</v>
      </c>
      <c r="O62" s="82"/>
    </row>
    <row r="63" spans="1:15" x14ac:dyDescent="0.25">
      <c r="A63" s="59" t="s">
        <v>117</v>
      </c>
      <c r="B63" s="21">
        <v>18</v>
      </c>
      <c r="C63" s="21" t="s">
        <v>100</v>
      </c>
      <c r="D63" s="21" t="s">
        <v>17</v>
      </c>
      <c r="E63" s="21" t="s">
        <v>27</v>
      </c>
      <c r="F63" s="24">
        <v>13159334.15</v>
      </c>
      <c r="G63" s="24">
        <v>1122682.3600000001</v>
      </c>
      <c r="H63" s="27">
        <v>1262132.82</v>
      </c>
      <c r="I63" s="27">
        <v>44108.26</v>
      </c>
      <c r="J63" s="23">
        <f t="shared" si="0"/>
        <v>12036651.790000001</v>
      </c>
      <c r="K63" s="24">
        <f t="shared" si="1"/>
        <v>9.5367552441905445</v>
      </c>
      <c r="L63" s="311">
        <f t="shared" si="2"/>
        <v>8.5314526343264876E-2</v>
      </c>
      <c r="M63" s="26">
        <f t="shared" si="3"/>
        <v>28.614432308143645</v>
      </c>
      <c r="N63" s="24">
        <f t="shared" si="4"/>
        <v>298.3417198955479</v>
      </c>
      <c r="O63" s="82"/>
    </row>
    <row r="64" spans="1:15" x14ac:dyDescent="0.25">
      <c r="A64" s="59" t="s">
        <v>117</v>
      </c>
      <c r="B64" s="21">
        <v>21</v>
      </c>
      <c r="C64" s="21" t="s">
        <v>100</v>
      </c>
      <c r="D64" s="21" t="s">
        <v>17</v>
      </c>
      <c r="E64" s="21" t="s">
        <v>27</v>
      </c>
      <c r="F64" s="24">
        <v>21564656.289999999</v>
      </c>
      <c r="G64" s="24">
        <v>1600074.41</v>
      </c>
      <c r="H64" s="27">
        <v>1863798.88</v>
      </c>
      <c r="I64" s="27">
        <v>72605.87</v>
      </c>
      <c r="J64" s="23">
        <f t="shared" si="0"/>
        <v>19964581.879999999</v>
      </c>
      <c r="K64" s="24">
        <f t="shared" si="1"/>
        <v>10.711768364191741</v>
      </c>
      <c r="L64" s="311">
        <f t="shared" si="2"/>
        <v>7.4198929418689108E-2</v>
      </c>
      <c r="M64" s="26">
        <f t="shared" si="3"/>
        <v>25.670085352603035</v>
      </c>
      <c r="N64" s="24">
        <f t="shared" si="4"/>
        <v>297.00981876534223</v>
      </c>
      <c r="O64" s="82"/>
    </row>
    <row r="65" spans="1:15" x14ac:dyDescent="0.25">
      <c r="A65" s="59" t="s">
        <v>117</v>
      </c>
      <c r="B65" s="21">
        <v>22</v>
      </c>
      <c r="C65" s="21" t="s">
        <v>100</v>
      </c>
      <c r="D65" s="21" t="s">
        <v>17</v>
      </c>
      <c r="E65" s="21" t="s">
        <v>27</v>
      </c>
      <c r="F65" s="24">
        <v>10654207.84</v>
      </c>
      <c r="G65" s="24">
        <v>716230.3</v>
      </c>
      <c r="H65" s="27">
        <v>643246.19999999995</v>
      </c>
      <c r="I65" s="27">
        <v>36898.46</v>
      </c>
      <c r="J65" s="23">
        <f t="shared" si="0"/>
        <v>9937977.5399999991</v>
      </c>
      <c r="K65" s="24">
        <f t="shared" si="1"/>
        <v>15.449725999158643</v>
      </c>
      <c r="L65" s="311">
        <f t="shared" si="2"/>
        <v>6.7225110562513679E-2</v>
      </c>
      <c r="M65" s="26">
        <f t="shared" si="3"/>
        <v>17.432873892297945</v>
      </c>
      <c r="N65" s="24">
        <f t="shared" si="4"/>
        <v>288.74397034456183</v>
      </c>
      <c r="O65" s="82"/>
    </row>
    <row r="66" spans="1:15" x14ac:dyDescent="0.25">
      <c r="A66" s="59" t="s">
        <v>117</v>
      </c>
      <c r="B66" s="21">
        <v>25</v>
      </c>
      <c r="C66" s="21" t="s">
        <v>100</v>
      </c>
      <c r="D66" s="21" t="s">
        <v>17</v>
      </c>
      <c r="E66" s="21" t="s">
        <v>27</v>
      </c>
      <c r="F66" s="24">
        <v>1797051.99</v>
      </c>
      <c r="G66" s="24">
        <v>108684.25</v>
      </c>
      <c r="H66" s="27">
        <v>57704.25</v>
      </c>
      <c r="I66" s="27">
        <v>5413.92</v>
      </c>
      <c r="J66" s="23">
        <f t="shared" si="0"/>
        <v>1688367.74</v>
      </c>
      <c r="K66" s="24">
        <f t="shared" si="1"/>
        <v>29.258984216933762</v>
      </c>
      <c r="L66" s="311">
        <f t="shared" si="2"/>
        <v>6.0479190699429905E-2</v>
      </c>
      <c r="M66" s="26">
        <f t="shared" si="3"/>
        <v>10.658496985548364</v>
      </c>
      <c r="N66" s="24">
        <f t="shared" si="4"/>
        <v>331.93175924284066</v>
      </c>
      <c r="O66" s="82"/>
    </row>
    <row r="67" spans="1:15" x14ac:dyDescent="0.25">
      <c r="A67" s="59" t="s">
        <v>117</v>
      </c>
      <c r="B67" s="21">
        <v>54</v>
      </c>
      <c r="C67" s="21" t="s">
        <v>100</v>
      </c>
      <c r="D67" s="21" t="s">
        <v>17</v>
      </c>
      <c r="E67" s="21" t="s">
        <v>27</v>
      </c>
      <c r="F67" s="24">
        <v>10139651.01</v>
      </c>
      <c r="G67" s="24">
        <v>889820.06</v>
      </c>
      <c r="H67" s="27">
        <v>884015.33</v>
      </c>
      <c r="I67" s="27">
        <v>33838.019999999997</v>
      </c>
      <c r="J67" s="23">
        <f t="shared" si="0"/>
        <v>9249830.9499999993</v>
      </c>
      <c r="K67" s="24">
        <f t="shared" si="1"/>
        <v>10.463428219055885</v>
      </c>
      <c r="L67" s="311">
        <f t="shared" si="2"/>
        <v>8.7756477922409287E-2</v>
      </c>
      <c r="M67" s="26">
        <f t="shared" si="3"/>
        <v>26.124913041602316</v>
      </c>
      <c r="N67" s="24">
        <f t="shared" si="4"/>
        <v>299.6526099931379</v>
      </c>
      <c r="O67" s="82"/>
    </row>
    <row r="68" spans="1:15" x14ac:dyDescent="0.25">
      <c r="A68" s="59" t="s">
        <v>117</v>
      </c>
      <c r="B68" s="21">
        <v>61</v>
      </c>
      <c r="C68" s="21" t="s">
        <v>100</v>
      </c>
      <c r="D68" s="21" t="s">
        <v>17</v>
      </c>
      <c r="E68" s="21" t="s">
        <v>27</v>
      </c>
      <c r="F68" s="24">
        <v>5740202.0999999996</v>
      </c>
      <c r="G68" s="24">
        <v>454354.22</v>
      </c>
      <c r="H68" s="27">
        <v>361363.88</v>
      </c>
      <c r="I68" s="27">
        <v>19627.259999999998</v>
      </c>
      <c r="J68" s="23">
        <f t="shared" ref="J68:J131" si="5">F68-G68</f>
        <v>5285847.88</v>
      </c>
      <c r="K68" s="24">
        <f t="shared" ref="K68:K131" si="6">J68/H68</f>
        <v>14.627493705236947</v>
      </c>
      <c r="L68" s="311">
        <f t="shared" ref="L68:L131" si="7">G68/F68</f>
        <v>7.9153000553760997E-2</v>
      </c>
      <c r="M68" s="26">
        <f t="shared" ref="M68:M131" si="8">H68/I68</f>
        <v>18.411325880433644</v>
      </c>
      <c r="N68" s="24">
        <f t="shared" ref="N68:N131" si="9">F68/I68</f>
        <v>292.46069497219685</v>
      </c>
      <c r="O68" s="82"/>
    </row>
    <row r="69" spans="1:15" x14ac:dyDescent="0.25">
      <c r="A69" s="59" t="s">
        <v>117</v>
      </c>
      <c r="B69" s="21">
        <v>62</v>
      </c>
      <c r="C69" s="21" t="s">
        <v>100</v>
      </c>
      <c r="D69" s="21" t="s">
        <v>17</v>
      </c>
      <c r="E69" s="21" t="s">
        <v>27</v>
      </c>
      <c r="F69" s="24">
        <v>5673295.2800000003</v>
      </c>
      <c r="G69" s="24">
        <v>0</v>
      </c>
      <c r="H69" s="27">
        <v>506622.61</v>
      </c>
      <c r="I69" s="27">
        <v>18472.259999999998</v>
      </c>
      <c r="J69" s="23">
        <f t="shared" si="5"/>
        <v>5673295.2800000003</v>
      </c>
      <c r="K69" s="24">
        <f t="shared" si="6"/>
        <v>11.198267049313097</v>
      </c>
      <c r="L69" s="311">
        <f t="shared" si="7"/>
        <v>0</v>
      </c>
      <c r="M69" s="26">
        <f t="shared" si="8"/>
        <v>27.42613031648537</v>
      </c>
      <c r="N69" s="24">
        <f t="shared" si="9"/>
        <v>307.12513141326514</v>
      </c>
      <c r="O69" s="82"/>
    </row>
    <row r="70" spans="1:15" x14ac:dyDescent="0.25">
      <c r="A70" s="59" t="s">
        <v>117</v>
      </c>
      <c r="B70" s="21">
        <v>63</v>
      </c>
      <c r="C70" s="21" t="s">
        <v>100</v>
      </c>
      <c r="D70" s="21" t="s">
        <v>17</v>
      </c>
      <c r="E70" s="21" t="s">
        <v>27</v>
      </c>
      <c r="F70" s="24">
        <v>9916098.7100000009</v>
      </c>
      <c r="G70" s="24">
        <v>704433.3</v>
      </c>
      <c r="H70" s="27">
        <v>700533.18</v>
      </c>
      <c r="I70" s="27">
        <v>32446.720000000001</v>
      </c>
      <c r="J70" s="23">
        <f t="shared" si="5"/>
        <v>9211665.4100000001</v>
      </c>
      <c r="K70" s="24">
        <f t="shared" si="6"/>
        <v>13.149506223245556</v>
      </c>
      <c r="L70" s="311">
        <f t="shared" si="7"/>
        <v>7.1039359389354045E-2</v>
      </c>
      <c r="M70" s="26">
        <f t="shared" si="8"/>
        <v>21.5902618199929</v>
      </c>
      <c r="N70" s="24">
        <f t="shared" si="9"/>
        <v>305.6117447310545</v>
      </c>
      <c r="O70" s="82"/>
    </row>
    <row r="71" spans="1:15" x14ac:dyDescent="0.25">
      <c r="A71" s="59" t="s">
        <v>117</v>
      </c>
      <c r="B71" s="21">
        <v>64</v>
      </c>
      <c r="C71" s="21" t="s">
        <v>100</v>
      </c>
      <c r="D71" s="21" t="s">
        <v>17</v>
      </c>
      <c r="E71" s="21" t="s">
        <v>27</v>
      </c>
      <c r="F71" s="24">
        <v>8677172.0999999996</v>
      </c>
      <c r="G71" s="24">
        <v>625575.9</v>
      </c>
      <c r="H71" s="27">
        <v>678087.01</v>
      </c>
      <c r="I71" s="27">
        <v>28104.7</v>
      </c>
      <c r="J71" s="23">
        <f t="shared" si="5"/>
        <v>8051596.1999999993</v>
      </c>
      <c r="K71" s="24">
        <f t="shared" si="6"/>
        <v>11.873986791164159</v>
      </c>
      <c r="L71" s="311">
        <f t="shared" si="7"/>
        <v>7.2094444225671184E-2</v>
      </c>
      <c r="M71" s="26">
        <f t="shared" si="8"/>
        <v>24.127174814176989</v>
      </c>
      <c r="N71" s="24">
        <f t="shared" si="9"/>
        <v>308.74451959992456</v>
      </c>
      <c r="O71" s="82"/>
    </row>
    <row r="72" spans="1:15" x14ac:dyDescent="0.25">
      <c r="A72" s="59" t="s">
        <v>117</v>
      </c>
      <c r="B72" s="21">
        <v>68</v>
      </c>
      <c r="C72" s="21" t="s">
        <v>100</v>
      </c>
      <c r="D72" s="21" t="s">
        <v>17</v>
      </c>
      <c r="E72" s="21" t="s">
        <v>27</v>
      </c>
      <c r="F72" s="24">
        <v>7802026.5999999996</v>
      </c>
      <c r="G72" s="24">
        <v>438191.07</v>
      </c>
      <c r="H72" s="27">
        <v>500001.3</v>
      </c>
      <c r="I72" s="27">
        <v>26214.68</v>
      </c>
      <c r="J72" s="23">
        <f t="shared" si="5"/>
        <v>7363835.5299999993</v>
      </c>
      <c r="K72" s="24">
        <f t="shared" si="6"/>
        <v>14.727632768154802</v>
      </c>
      <c r="L72" s="311">
        <f t="shared" si="7"/>
        <v>5.616374981341387E-2</v>
      </c>
      <c r="M72" s="26">
        <f t="shared" si="8"/>
        <v>19.073332194022584</v>
      </c>
      <c r="N72" s="24">
        <f t="shared" si="9"/>
        <v>297.62051644345837</v>
      </c>
      <c r="O72" s="82"/>
    </row>
    <row r="73" spans="1:15" x14ac:dyDescent="0.25">
      <c r="A73" s="59" t="s">
        <v>117</v>
      </c>
      <c r="B73" s="21">
        <v>71</v>
      </c>
      <c r="C73" s="21" t="s">
        <v>100</v>
      </c>
      <c r="D73" s="21" t="s">
        <v>17</v>
      </c>
      <c r="E73" s="21" t="s">
        <v>27</v>
      </c>
      <c r="F73" s="24">
        <v>4576478.3099999996</v>
      </c>
      <c r="G73" s="24">
        <v>170426.86</v>
      </c>
      <c r="H73" s="27">
        <v>179902.81</v>
      </c>
      <c r="I73" s="27">
        <v>14049.84</v>
      </c>
      <c r="J73" s="23">
        <f t="shared" si="5"/>
        <v>4406051.4499999993</v>
      </c>
      <c r="K73" s="24">
        <f t="shared" si="6"/>
        <v>24.49128754575873</v>
      </c>
      <c r="L73" s="311">
        <f t="shared" si="7"/>
        <v>3.7239739479940852E-2</v>
      </c>
      <c r="M73" s="26">
        <f t="shared" si="8"/>
        <v>12.804616280327748</v>
      </c>
      <c r="N73" s="24">
        <f t="shared" si="9"/>
        <v>325.73170299448248</v>
      </c>
      <c r="O73" s="82"/>
    </row>
    <row r="74" spans="1:15" x14ac:dyDescent="0.25">
      <c r="A74" s="59" t="s">
        <v>117</v>
      </c>
      <c r="B74" s="21">
        <v>74</v>
      </c>
      <c r="C74" s="21" t="s">
        <v>100</v>
      </c>
      <c r="D74" s="21" t="s">
        <v>17</v>
      </c>
      <c r="E74" s="21" t="s">
        <v>27</v>
      </c>
      <c r="F74" s="24">
        <v>8322931.4900000002</v>
      </c>
      <c r="G74" s="24">
        <v>647920.85</v>
      </c>
      <c r="H74" s="27">
        <v>586858.97</v>
      </c>
      <c r="I74" s="27">
        <v>28077.14</v>
      </c>
      <c r="J74" s="23">
        <f t="shared" si="5"/>
        <v>7675010.6400000006</v>
      </c>
      <c r="K74" s="24">
        <f t="shared" si="6"/>
        <v>13.078117626795414</v>
      </c>
      <c r="L74" s="311">
        <f t="shared" si="7"/>
        <v>7.7847673115954003E-2</v>
      </c>
      <c r="M74" s="26">
        <f t="shared" si="8"/>
        <v>20.901664841931904</v>
      </c>
      <c r="N74" s="24">
        <f t="shared" si="9"/>
        <v>296.43088612301682</v>
      </c>
      <c r="O74" s="82"/>
    </row>
    <row r="75" spans="1:15" x14ac:dyDescent="0.25">
      <c r="A75" s="59" t="s">
        <v>117</v>
      </c>
      <c r="B75" s="21">
        <v>2</v>
      </c>
      <c r="C75" s="21" t="s">
        <v>100</v>
      </c>
      <c r="D75" s="21" t="s">
        <v>17</v>
      </c>
      <c r="E75" s="21" t="s">
        <v>59</v>
      </c>
      <c r="F75" s="24">
        <v>1171586.9099999999</v>
      </c>
      <c r="G75" s="24">
        <v>84898.98</v>
      </c>
      <c r="H75" s="27">
        <v>115141.36</v>
      </c>
      <c r="I75" s="27">
        <v>3664.28</v>
      </c>
      <c r="J75" s="23">
        <f t="shared" si="5"/>
        <v>1086687.93</v>
      </c>
      <c r="K75" s="24">
        <f t="shared" si="6"/>
        <v>9.4378590803513163</v>
      </c>
      <c r="L75" s="311">
        <f t="shared" si="7"/>
        <v>7.2464944149982016E-2</v>
      </c>
      <c r="M75" s="26">
        <f t="shared" si="8"/>
        <v>31.42264237449103</v>
      </c>
      <c r="N75" s="24">
        <f t="shared" si="9"/>
        <v>319.73181907496149</v>
      </c>
      <c r="O75" s="82"/>
    </row>
    <row r="76" spans="1:15" x14ac:dyDescent="0.25">
      <c r="A76" s="59" t="s">
        <v>117</v>
      </c>
      <c r="B76" s="21">
        <v>3</v>
      </c>
      <c r="C76" s="21" t="s">
        <v>100</v>
      </c>
      <c r="D76" s="21" t="s">
        <v>17</v>
      </c>
      <c r="E76" s="21" t="s">
        <v>59</v>
      </c>
      <c r="F76" s="24">
        <v>1870475.69</v>
      </c>
      <c r="G76" s="24">
        <v>99582.76</v>
      </c>
      <c r="H76" s="27">
        <v>116572.27</v>
      </c>
      <c r="I76" s="27">
        <v>6426.48</v>
      </c>
      <c r="J76" s="23">
        <f t="shared" si="5"/>
        <v>1770892.93</v>
      </c>
      <c r="K76" s="24">
        <f t="shared" si="6"/>
        <v>15.191373814715968</v>
      </c>
      <c r="L76" s="311">
        <f t="shared" si="7"/>
        <v>5.3239269845843332E-2</v>
      </c>
      <c r="M76" s="26">
        <f t="shared" si="8"/>
        <v>18.139365562485221</v>
      </c>
      <c r="N76" s="24">
        <f t="shared" si="9"/>
        <v>291.05757584245185</v>
      </c>
      <c r="O76" s="82"/>
    </row>
    <row r="77" spans="1:15" x14ac:dyDescent="0.25">
      <c r="A77" s="59" t="s">
        <v>117</v>
      </c>
      <c r="B77" s="21">
        <v>4</v>
      </c>
      <c r="C77" s="21" t="s">
        <v>100</v>
      </c>
      <c r="D77" s="21" t="s">
        <v>17</v>
      </c>
      <c r="E77" s="21" t="s">
        <v>59</v>
      </c>
      <c r="F77" s="24">
        <v>1839694.18</v>
      </c>
      <c r="G77" s="24">
        <v>93789.06</v>
      </c>
      <c r="H77" s="27">
        <v>106279.47</v>
      </c>
      <c r="I77" s="27">
        <v>6380.97</v>
      </c>
      <c r="J77" s="23">
        <f t="shared" si="5"/>
        <v>1745905.1199999999</v>
      </c>
      <c r="K77" s="24">
        <f t="shared" si="6"/>
        <v>16.427491781808847</v>
      </c>
      <c r="L77" s="311">
        <f t="shared" si="7"/>
        <v>5.0980788556932874E-2</v>
      </c>
      <c r="M77" s="26">
        <f t="shared" si="8"/>
        <v>16.655691846224006</v>
      </c>
      <c r="N77" s="24">
        <f t="shared" si="9"/>
        <v>288.30948586186736</v>
      </c>
      <c r="O77" s="82"/>
    </row>
    <row r="78" spans="1:15" x14ac:dyDescent="0.25">
      <c r="A78" s="59" t="s">
        <v>117</v>
      </c>
      <c r="B78" s="21">
        <v>6</v>
      </c>
      <c r="C78" s="21" t="s">
        <v>100</v>
      </c>
      <c r="D78" s="21" t="s">
        <v>17</v>
      </c>
      <c r="E78" s="21" t="s">
        <v>59</v>
      </c>
      <c r="F78" s="24">
        <v>2349448.2999999998</v>
      </c>
      <c r="G78" s="24">
        <v>107990.65</v>
      </c>
      <c r="H78" s="27">
        <v>121670.52</v>
      </c>
      <c r="I78" s="27">
        <v>7669.29</v>
      </c>
      <c r="J78" s="23">
        <f t="shared" si="5"/>
        <v>2241457.65</v>
      </c>
      <c r="K78" s="24">
        <f t="shared" si="6"/>
        <v>18.422356130309954</v>
      </c>
      <c r="L78" s="311">
        <f t="shared" si="7"/>
        <v>4.5964258928362034E-2</v>
      </c>
      <c r="M78" s="26">
        <f t="shared" si="8"/>
        <v>15.864639360358</v>
      </c>
      <c r="N78" s="24">
        <f t="shared" si="9"/>
        <v>306.344955008873</v>
      </c>
      <c r="O78" s="82"/>
    </row>
    <row r="79" spans="1:15" x14ac:dyDescent="0.25">
      <c r="A79" s="59" t="s">
        <v>117</v>
      </c>
      <c r="B79" s="21">
        <v>7</v>
      </c>
      <c r="C79" s="21" t="s">
        <v>100</v>
      </c>
      <c r="D79" s="21" t="s">
        <v>17</v>
      </c>
      <c r="E79" s="21" t="s">
        <v>59</v>
      </c>
      <c r="F79" s="24">
        <v>572137.43000000005</v>
      </c>
      <c r="G79" s="24">
        <v>21407.68</v>
      </c>
      <c r="H79" s="27">
        <v>25375.29</v>
      </c>
      <c r="I79" s="27">
        <v>1786.2</v>
      </c>
      <c r="J79" s="23">
        <f t="shared" si="5"/>
        <v>550729.75</v>
      </c>
      <c r="K79" s="24">
        <f t="shared" si="6"/>
        <v>21.703387429266819</v>
      </c>
      <c r="L79" s="311">
        <f t="shared" si="7"/>
        <v>3.7417024088076178E-2</v>
      </c>
      <c r="M79" s="26">
        <f t="shared" si="8"/>
        <v>14.206298286865973</v>
      </c>
      <c r="N79" s="24">
        <f t="shared" si="9"/>
        <v>320.30983652446537</v>
      </c>
      <c r="O79" s="82"/>
    </row>
    <row r="80" spans="1:15" x14ac:dyDescent="0.25">
      <c r="A80" s="59" t="s">
        <v>117</v>
      </c>
      <c r="B80" s="21">
        <v>9</v>
      </c>
      <c r="C80" s="21" t="s">
        <v>100</v>
      </c>
      <c r="D80" s="21" t="s">
        <v>17</v>
      </c>
      <c r="E80" s="21" t="s">
        <v>59</v>
      </c>
      <c r="F80" s="24">
        <v>1181607.8999999999</v>
      </c>
      <c r="G80" s="24">
        <v>38676.370000000003</v>
      </c>
      <c r="H80" s="27">
        <v>49249.27</v>
      </c>
      <c r="I80" s="27">
        <v>3673.62</v>
      </c>
      <c r="J80" s="23">
        <f t="shared" si="5"/>
        <v>1142931.5299999998</v>
      </c>
      <c r="K80" s="24">
        <f t="shared" si="6"/>
        <v>23.207075556652917</v>
      </c>
      <c r="L80" s="311">
        <f t="shared" si="7"/>
        <v>3.2731983257728733E-2</v>
      </c>
      <c r="M80" s="26">
        <f t="shared" si="8"/>
        <v>13.406196068183426</v>
      </c>
      <c r="N80" s="24">
        <f t="shared" si="9"/>
        <v>321.64674081695983</v>
      </c>
      <c r="O80" s="82"/>
    </row>
    <row r="81" spans="1:15" x14ac:dyDescent="0.25">
      <c r="A81" s="59" t="s">
        <v>117</v>
      </c>
      <c r="B81" s="21">
        <v>10</v>
      </c>
      <c r="C81" s="21" t="s">
        <v>100</v>
      </c>
      <c r="D81" s="21" t="s">
        <v>17</v>
      </c>
      <c r="E81" s="21" t="s">
        <v>59</v>
      </c>
      <c r="F81" s="24">
        <v>1824184.39</v>
      </c>
      <c r="G81" s="24">
        <v>104424.64</v>
      </c>
      <c r="H81" s="27">
        <v>151782.71</v>
      </c>
      <c r="I81" s="27">
        <v>6004.22</v>
      </c>
      <c r="J81" s="23">
        <f t="shared" si="5"/>
        <v>1719759.75</v>
      </c>
      <c r="K81" s="24">
        <f t="shared" si="6"/>
        <v>11.330406144415264</v>
      </c>
      <c r="L81" s="311">
        <f t="shared" si="7"/>
        <v>5.7244563966474905E-2</v>
      </c>
      <c r="M81" s="26">
        <f t="shared" si="8"/>
        <v>25.279338531899228</v>
      </c>
      <c r="N81" s="24">
        <f t="shared" si="9"/>
        <v>303.81704701026939</v>
      </c>
      <c r="O81" s="82"/>
    </row>
    <row r="82" spans="1:15" x14ac:dyDescent="0.25">
      <c r="A82" s="59" t="s">
        <v>117</v>
      </c>
      <c r="B82" s="21">
        <v>11</v>
      </c>
      <c r="C82" s="21" t="s">
        <v>100</v>
      </c>
      <c r="D82" s="21" t="s">
        <v>17</v>
      </c>
      <c r="E82" s="21" t="s">
        <v>59</v>
      </c>
      <c r="F82" s="24">
        <v>1569140.67</v>
      </c>
      <c r="G82" s="24">
        <v>73782.259999999995</v>
      </c>
      <c r="H82" s="27">
        <v>93497.61</v>
      </c>
      <c r="I82" s="27">
        <v>5296.72</v>
      </c>
      <c r="J82" s="23">
        <f t="shared" si="5"/>
        <v>1495358.41</v>
      </c>
      <c r="K82" s="24">
        <f t="shared" si="6"/>
        <v>15.993546893872473</v>
      </c>
      <c r="L82" s="311">
        <f t="shared" si="7"/>
        <v>4.7020806617675645E-2</v>
      </c>
      <c r="M82" s="26">
        <f t="shared" si="8"/>
        <v>17.651982736485976</v>
      </c>
      <c r="N82" s="24">
        <f t="shared" si="9"/>
        <v>296.24761550544486</v>
      </c>
      <c r="O82" s="82"/>
    </row>
    <row r="83" spans="1:15" x14ac:dyDescent="0.25">
      <c r="A83" s="59" t="s">
        <v>117</v>
      </c>
      <c r="B83" s="21">
        <v>14</v>
      </c>
      <c r="C83" s="21" t="s">
        <v>100</v>
      </c>
      <c r="D83" s="21" t="s">
        <v>17</v>
      </c>
      <c r="E83" s="21" t="s">
        <v>59</v>
      </c>
      <c r="F83" s="24">
        <v>1405744.57</v>
      </c>
      <c r="G83" s="24">
        <v>70188.45</v>
      </c>
      <c r="H83" s="27">
        <v>91307.76</v>
      </c>
      <c r="I83" s="27">
        <v>4609.8</v>
      </c>
      <c r="J83" s="23">
        <f t="shared" si="5"/>
        <v>1335556.1200000001</v>
      </c>
      <c r="K83" s="24">
        <f t="shared" si="6"/>
        <v>14.626972778655398</v>
      </c>
      <c r="L83" s="311">
        <f t="shared" si="7"/>
        <v>4.9929732255697058E-2</v>
      </c>
      <c r="M83" s="26">
        <f t="shared" si="8"/>
        <v>19.807314850969671</v>
      </c>
      <c r="N83" s="24">
        <f t="shared" si="9"/>
        <v>304.9469760076359</v>
      </c>
      <c r="O83" s="82"/>
    </row>
    <row r="84" spans="1:15" x14ac:dyDescent="0.25">
      <c r="A84" s="59" t="s">
        <v>117</v>
      </c>
      <c r="B84" s="21">
        <v>17</v>
      </c>
      <c r="C84" s="21" t="s">
        <v>100</v>
      </c>
      <c r="D84" s="21" t="s">
        <v>17</v>
      </c>
      <c r="E84" s="21" t="s">
        <v>59</v>
      </c>
      <c r="F84" s="24">
        <v>1635259.67</v>
      </c>
      <c r="G84" s="24">
        <v>83531.63</v>
      </c>
      <c r="H84" s="27">
        <v>110417.92</v>
      </c>
      <c r="I84" s="27">
        <v>5382.1</v>
      </c>
      <c r="J84" s="23">
        <f t="shared" si="5"/>
        <v>1551728.04</v>
      </c>
      <c r="K84" s="24">
        <f t="shared" si="6"/>
        <v>14.053226505262915</v>
      </c>
      <c r="L84" s="311">
        <f t="shared" si="7"/>
        <v>5.1081569204235316E-2</v>
      </c>
      <c r="M84" s="26">
        <f t="shared" si="8"/>
        <v>20.515768937775217</v>
      </c>
      <c r="N84" s="24">
        <f t="shared" si="9"/>
        <v>303.83301499414722</v>
      </c>
      <c r="O84" s="82"/>
    </row>
    <row r="85" spans="1:15" x14ac:dyDescent="0.25">
      <c r="A85" s="59" t="s">
        <v>117</v>
      </c>
      <c r="B85" s="21">
        <v>18</v>
      </c>
      <c r="C85" s="21" t="s">
        <v>100</v>
      </c>
      <c r="D85" s="21" t="s">
        <v>17</v>
      </c>
      <c r="E85" s="21" t="s">
        <v>59</v>
      </c>
      <c r="F85" s="24">
        <v>2103010.08</v>
      </c>
      <c r="G85" s="24">
        <v>122952.36</v>
      </c>
      <c r="H85" s="27">
        <v>175983.87</v>
      </c>
      <c r="I85" s="27">
        <v>6946.67</v>
      </c>
      <c r="J85" s="23">
        <f t="shared" si="5"/>
        <v>1980057.72</v>
      </c>
      <c r="K85" s="24">
        <f t="shared" si="6"/>
        <v>11.251359116037168</v>
      </c>
      <c r="L85" s="311">
        <f t="shared" si="7"/>
        <v>5.8464940881310469E-2</v>
      </c>
      <c r="M85" s="26">
        <f t="shared" si="8"/>
        <v>25.33355838120999</v>
      </c>
      <c r="N85" s="24">
        <f t="shared" si="9"/>
        <v>302.73643054873776</v>
      </c>
      <c r="O85" s="82"/>
    </row>
    <row r="86" spans="1:15" x14ac:dyDescent="0.25">
      <c r="A86" s="59" t="s">
        <v>117</v>
      </c>
      <c r="B86" s="21">
        <v>21</v>
      </c>
      <c r="C86" s="21" t="s">
        <v>100</v>
      </c>
      <c r="D86" s="21" t="s">
        <v>17</v>
      </c>
      <c r="E86" s="21" t="s">
        <v>59</v>
      </c>
      <c r="F86" s="24">
        <v>3806044.48</v>
      </c>
      <c r="G86" s="24">
        <v>196005.43</v>
      </c>
      <c r="H86" s="27">
        <v>293504.55</v>
      </c>
      <c r="I86" s="27">
        <v>12789.87</v>
      </c>
      <c r="J86" s="23">
        <f t="shared" si="5"/>
        <v>3610039.05</v>
      </c>
      <c r="K86" s="24">
        <f t="shared" si="6"/>
        <v>12.299772013755835</v>
      </c>
      <c r="L86" s="311">
        <f t="shared" si="7"/>
        <v>5.1498460154622255E-2</v>
      </c>
      <c r="M86" s="26">
        <f t="shared" si="8"/>
        <v>22.948204321075973</v>
      </c>
      <c r="N86" s="24">
        <f t="shared" si="9"/>
        <v>297.58273383544946</v>
      </c>
      <c r="O86" s="82"/>
    </row>
    <row r="87" spans="1:15" x14ac:dyDescent="0.25">
      <c r="A87" s="59" t="s">
        <v>117</v>
      </c>
      <c r="B87" s="21">
        <v>22</v>
      </c>
      <c r="C87" s="21" t="s">
        <v>100</v>
      </c>
      <c r="D87" s="21" t="s">
        <v>17</v>
      </c>
      <c r="E87" s="21" t="s">
        <v>59</v>
      </c>
      <c r="F87" s="24">
        <v>1274796.53</v>
      </c>
      <c r="G87" s="24">
        <v>54150.14</v>
      </c>
      <c r="H87" s="27">
        <v>70387.75</v>
      </c>
      <c r="I87" s="27">
        <v>4716.9399999999996</v>
      </c>
      <c r="J87" s="23">
        <f t="shared" si="5"/>
        <v>1220646.3900000001</v>
      </c>
      <c r="K87" s="24">
        <f t="shared" si="6"/>
        <v>17.341744692791007</v>
      </c>
      <c r="L87" s="311">
        <f t="shared" si="7"/>
        <v>4.2477476778196126E-2</v>
      </c>
      <c r="M87" s="26">
        <f t="shared" si="8"/>
        <v>14.922333122744831</v>
      </c>
      <c r="N87" s="24">
        <f t="shared" si="9"/>
        <v>270.25922102040732</v>
      </c>
      <c r="O87" s="82"/>
    </row>
    <row r="88" spans="1:15" x14ac:dyDescent="0.25">
      <c r="A88" s="59" t="s">
        <v>117</v>
      </c>
      <c r="B88" s="21">
        <v>54</v>
      </c>
      <c r="C88" s="21" t="s">
        <v>100</v>
      </c>
      <c r="D88" s="21" t="s">
        <v>17</v>
      </c>
      <c r="E88" s="21" t="s">
        <v>59</v>
      </c>
      <c r="F88" s="24">
        <v>1753217.23</v>
      </c>
      <c r="G88" s="24">
        <v>125523.91</v>
      </c>
      <c r="H88" s="27">
        <v>142982.94</v>
      </c>
      <c r="I88" s="27">
        <v>5999</v>
      </c>
      <c r="J88" s="23">
        <f t="shared" si="5"/>
        <v>1627693.32</v>
      </c>
      <c r="K88" s="24">
        <f t="shared" si="6"/>
        <v>11.383828867975438</v>
      </c>
      <c r="L88" s="311">
        <f t="shared" si="7"/>
        <v>7.1596324660806579E-2</v>
      </c>
      <c r="M88" s="26">
        <f t="shared" si="8"/>
        <v>23.834462410401734</v>
      </c>
      <c r="N88" s="24">
        <f t="shared" si="9"/>
        <v>292.25158026337721</v>
      </c>
      <c r="O88" s="82"/>
    </row>
    <row r="89" spans="1:15" x14ac:dyDescent="0.25">
      <c r="A89" s="59" t="s">
        <v>117</v>
      </c>
      <c r="B89" s="21">
        <v>61</v>
      </c>
      <c r="C89" s="21" t="s">
        <v>100</v>
      </c>
      <c r="D89" s="21" t="s">
        <v>17</v>
      </c>
      <c r="E89" s="21" t="s">
        <v>59</v>
      </c>
      <c r="F89" s="24">
        <v>455430.88</v>
      </c>
      <c r="G89" s="24">
        <v>21395.99</v>
      </c>
      <c r="H89" s="27">
        <v>25000.48</v>
      </c>
      <c r="I89" s="27">
        <v>1511.64</v>
      </c>
      <c r="J89" s="23">
        <f t="shared" si="5"/>
        <v>434034.89</v>
      </c>
      <c r="K89" s="24">
        <f t="shared" si="6"/>
        <v>17.361062267604463</v>
      </c>
      <c r="L89" s="311">
        <f t="shared" si="7"/>
        <v>4.6979664620018742E-2</v>
      </c>
      <c r="M89" s="26">
        <f t="shared" si="8"/>
        <v>16.538646767748933</v>
      </c>
      <c r="N89" s="24">
        <f t="shared" si="9"/>
        <v>301.28263343124024</v>
      </c>
      <c r="O89" s="82"/>
    </row>
    <row r="90" spans="1:15" x14ac:dyDescent="0.25">
      <c r="A90" s="59" t="s">
        <v>117</v>
      </c>
      <c r="B90" s="21">
        <v>62</v>
      </c>
      <c r="C90" s="21" t="s">
        <v>100</v>
      </c>
      <c r="D90" s="21" t="s">
        <v>17</v>
      </c>
      <c r="E90" s="21" t="s">
        <v>59</v>
      </c>
      <c r="F90" s="24">
        <v>971108.85</v>
      </c>
      <c r="G90" s="24">
        <v>0</v>
      </c>
      <c r="H90" s="27">
        <v>79496.06</v>
      </c>
      <c r="I90" s="27">
        <v>3210.42</v>
      </c>
      <c r="J90" s="23">
        <f t="shared" si="5"/>
        <v>971108.85</v>
      </c>
      <c r="K90" s="24">
        <f t="shared" si="6"/>
        <v>12.215811072900971</v>
      </c>
      <c r="L90" s="311">
        <f t="shared" si="7"/>
        <v>0</v>
      </c>
      <c r="M90" s="26">
        <f t="shared" si="8"/>
        <v>24.76188785267971</v>
      </c>
      <c r="N90" s="24">
        <f t="shared" si="9"/>
        <v>302.48654381669689</v>
      </c>
      <c r="O90" s="82"/>
    </row>
    <row r="91" spans="1:15" x14ac:dyDescent="0.25">
      <c r="A91" s="59" t="s">
        <v>117</v>
      </c>
      <c r="B91" s="21">
        <v>63</v>
      </c>
      <c r="C91" s="21" t="s">
        <v>100</v>
      </c>
      <c r="D91" s="21" t="s">
        <v>17</v>
      </c>
      <c r="E91" s="21" t="s">
        <v>59</v>
      </c>
      <c r="F91" s="24">
        <v>1681161.39</v>
      </c>
      <c r="G91" s="24">
        <v>80207.759999999995</v>
      </c>
      <c r="H91" s="27">
        <v>103499.46</v>
      </c>
      <c r="I91" s="27">
        <v>5526.72</v>
      </c>
      <c r="J91" s="23">
        <f t="shared" si="5"/>
        <v>1600953.63</v>
      </c>
      <c r="K91" s="24">
        <f t="shared" si="6"/>
        <v>15.468231718310413</v>
      </c>
      <c r="L91" s="311">
        <f t="shared" si="7"/>
        <v>4.7709732377329936E-2</v>
      </c>
      <c r="M91" s="26">
        <f t="shared" si="8"/>
        <v>18.72710396039604</v>
      </c>
      <c r="N91" s="24">
        <f t="shared" si="9"/>
        <v>304.18790711307969</v>
      </c>
      <c r="O91" s="82"/>
    </row>
    <row r="92" spans="1:15" x14ac:dyDescent="0.25">
      <c r="A92" s="59" t="s">
        <v>117</v>
      </c>
      <c r="B92" s="21">
        <v>64</v>
      </c>
      <c r="C92" s="21" t="s">
        <v>100</v>
      </c>
      <c r="D92" s="21" t="s">
        <v>17</v>
      </c>
      <c r="E92" s="21" t="s">
        <v>59</v>
      </c>
      <c r="F92" s="24">
        <v>1496091.4</v>
      </c>
      <c r="G92" s="24">
        <v>71860.89</v>
      </c>
      <c r="H92" s="27">
        <v>98548.23</v>
      </c>
      <c r="I92" s="27">
        <v>4997.2</v>
      </c>
      <c r="J92" s="23">
        <f t="shared" si="5"/>
        <v>1424230.51</v>
      </c>
      <c r="K92" s="24">
        <f t="shared" si="6"/>
        <v>14.452116593063113</v>
      </c>
      <c r="L92" s="311">
        <f t="shared" si="7"/>
        <v>4.8032419677033103E-2</v>
      </c>
      <c r="M92" s="26">
        <f t="shared" si="8"/>
        <v>19.720689586168255</v>
      </c>
      <c r="N92" s="24">
        <f t="shared" si="9"/>
        <v>299.38593612422954</v>
      </c>
      <c r="O92" s="82"/>
    </row>
    <row r="93" spans="1:15" x14ac:dyDescent="0.25">
      <c r="A93" s="59" t="s">
        <v>117</v>
      </c>
      <c r="B93" s="21">
        <v>68</v>
      </c>
      <c r="C93" s="21" t="s">
        <v>100</v>
      </c>
      <c r="D93" s="21" t="s">
        <v>17</v>
      </c>
      <c r="E93" s="21" t="s">
        <v>59</v>
      </c>
      <c r="F93" s="24">
        <v>1403028.3</v>
      </c>
      <c r="G93" s="24">
        <v>55549.18</v>
      </c>
      <c r="H93" s="27">
        <v>81081.240000000005</v>
      </c>
      <c r="I93" s="27">
        <v>4869.8</v>
      </c>
      <c r="J93" s="23">
        <f t="shared" si="5"/>
        <v>1347479.12</v>
      </c>
      <c r="K93" s="24">
        <f t="shared" si="6"/>
        <v>16.618876573668583</v>
      </c>
      <c r="L93" s="311">
        <f t="shared" si="7"/>
        <v>3.9592344644794407E-2</v>
      </c>
      <c r="M93" s="26">
        <f t="shared" si="8"/>
        <v>16.649809027064766</v>
      </c>
      <c r="N93" s="24">
        <f t="shared" si="9"/>
        <v>288.10799211466588</v>
      </c>
      <c r="O93" s="82"/>
    </row>
    <row r="94" spans="1:15" x14ac:dyDescent="0.25">
      <c r="A94" s="59" t="s">
        <v>117</v>
      </c>
      <c r="B94" s="21">
        <v>71</v>
      </c>
      <c r="C94" s="21" t="s">
        <v>100</v>
      </c>
      <c r="D94" s="21" t="s">
        <v>17</v>
      </c>
      <c r="E94" s="21" t="s">
        <v>59</v>
      </c>
      <c r="F94" s="24">
        <v>687374.39</v>
      </c>
      <c r="G94" s="24">
        <v>13500.97</v>
      </c>
      <c r="H94" s="27">
        <v>18833.71</v>
      </c>
      <c r="I94" s="27">
        <v>2042.04</v>
      </c>
      <c r="J94" s="23">
        <f t="shared" si="5"/>
        <v>673873.42</v>
      </c>
      <c r="K94" s="24">
        <f t="shared" si="6"/>
        <v>35.78017395404305</v>
      </c>
      <c r="L94" s="311">
        <f t="shared" si="7"/>
        <v>1.9641363129633035E-2</v>
      </c>
      <c r="M94" s="26">
        <f t="shared" si="8"/>
        <v>9.2229877965172076</v>
      </c>
      <c r="N94" s="24">
        <f t="shared" si="9"/>
        <v>336.6116187733835</v>
      </c>
      <c r="O94" s="82"/>
    </row>
    <row r="95" spans="1:15" x14ac:dyDescent="0.25">
      <c r="A95" s="59" t="s">
        <v>117</v>
      </c>
      <c r="B95" s="21">
        <v>74</v>
      </c>
      <c r="C95" s="21" t="s">
        <v>100</v>
      </c>
      <c r="D95" s="21" t="s">
        <v>17</v>
      </c>
      <c r="E95" s="21" t="s">
        <v>59</v>
      </c>
      <c r="F95" s="24">
        <v>1089443</v>
      </c>
      <c r="G95" s="24">
        <v>58312.57</v>
      </c>
      <c r="H95" s="27">
        <v>72499.94</v>
      </c>
      <c r="I95" s="27">
        <v>3522.3</v>
      </c>
      <c r="J95" s="23">
        <f t="shared" si="5"/>
        <v>1031130.43</v>
      </c>
      <c r="K95" s="24">
        <f t="shared" si="6"/>
        <v>14.222500460000381</v>
      </c>
      <c r="L95" s="311">
        <f t="shared" si="7"/>
        <v>5.3525122470840604E-2</v>
      </c>
      <c r="M95" s="26">
        <f t="shared" si="8"/>
        <v>20.583124662862335</v>
      </c>
      <c r="N95" s="24">
        <f t="shared" si="9"/>
        <v>309.29875365528204</v>
      </c>
      <c r="O95" s="82"/>
    </row>
    <row r="96" spans="1:15" x14ac:dyDescent="0.25">
      <c r="A96" s="59" t="s">
        <v>117</v>
      </c>
      <c r="B96" s="21">
        <v>2</v>
      </c>
      <c r="C96" s="21" t="s">
        <v>100</v>
      </c>
      <c r="D96" s="21" t="s">
        <v>17</v>
      </c>
      <c r="E96" s="21" t="s">
        <v>60</v>
      </c>
      <c r="F96" s="24">
        <v>1118261.44</v>
      </c>
      <c r="G96" s="24">
        <v>77884.460000000006</v>
      </c>
      <c r="H96" s="27">
        <v>102338.79</v>
      </c>
      <c r="I96" s="27">
        <v>3486.84</v>
      </c>
      <c r="J96" s="23">
        <f t="shared" si="5"/>
        <v>1040376.98</v>
      </c>
      <c r="K96" s="24">
        <f t="shared" si="6"/>
        <v>10.166008216434843</v>
      </c>
      <c r="L96" s="311">
        <f t="shared" si="7"/>
        <v>6.9647809728644497E-2</v>
      </c>
      <c r="M96" s="26">
        <f t="shared" si="8"/>
        <v>29.350010324534534</v>
      </c>
      <c r="N96" s="24">
        <f t="shared" si="9"/>
        <v>320.70913491872295</v>
      </c>
      <c r="O96" s="82"/>
    </row>
    <row r="97" spans="1:15" x14ac:dyDescent="0.25">
      <c r="A97" s="59" t="s">
        <v>117</v>
      </c>
      <c r="B97" s="21">
        <v>3</v>
      </c>
      <c r="C97" s="21" t="s">
        <v>100</v>
      </c>
      <c r="D97" s="21" t="s">
        <v>17</v>
      </c>
      <c r="E97" s="21" t="s">
        <v>60</v>
      </c>
      <c r="F97" s="24">
        <v>1185659.57</v>
      </c>
      <c r="G97" s="24">
        <v>71287.320000000007</v>
      </c>
      <c r="H97" s="27">
        <v>83774.28</v>
      </c>
      <c r="I97" s="27">
        <v>3983.63</v>
      </c>
      <c r="J97" s="23">
        <f t="shared" si="5"/>
        <v>1114372.25</v>
      </c>
      <c r="K97" s="24">
        <f t="shared" si="6"/>
        <v>13.302080901202613</v>
      </c>
      <c r="L97" s="311">
        <f t="shared" si="7"/>
        <v>6.0124610641821924E-2</v>
      </c>
      <c r="M97" s="26">
        <f t="shared" si="8"/>
        <v>21.029633776229218</v>
      </c>
      <c r="N97" s="24">
        <f t="shared" si="9"/>
        <v>297.63295536985112</v>
      </c>
      <c r="O97" s="82"/>
    </row>
    <row r="98" spans="1:15" x14ac:dyDescent="0.25">
      <c r="A98" s="59" t="s">
        <v>117</v>
      </c>
      <c r="B98" s="21">
        <v>4</v>
      </c>
      <c r="C98" s="21" t="s">
        <v>100</v>
      </c>
      <c r="D98" s="21" t="s">
        <v>17</v>
      </c>
      <c r="E98" s="21" t="s">
        <v>60</v>
      </c>
      <c r="F98" s="24">
        <v>1495604.42</v>
      </c>
      <c r="G98" s="24">
        <v>74563.08</v>
      </c>
      <c r="H98" s="27">
        <v>80180.45</v>
      </c>
      <c r="I98" s="27">
        <v>4861.68</v>
      </c>
      <c r="J98" s="23">
        <f t="shared" si="5"/>
        <v>1421041.3399999999</v>
      </c>
      <c r="K98" s="24">
        <f t="shared" si="6"/>
        <v>17.723040217409604</v>
      </c>
      <c r="L98" s="311">
        <f t="shared" si="7"/>
        <v>4.9854813881868583E-2</v>
      </c>
      <c r="M98" s="26">
        <f t="shared" si="8"/>
        <v>16.492333925721148</v>
      </c>
      <c r="N98" s="24">
        <f t="shared" si="9"/>
        <v>307.63119333234596</v>
      </c>
      <c r="O98" s="82"/>
    </row>
    <row r="99" spans="1:15" x14ac:dyDescent="0.25">
      <c r="A99" s="59" t="s">
        <v>117</v>
      </c>
      <c r="B99" s="21">
        <v>6</v>
      </c>
      <c r="C99" s="21" t="s">
        <v>100</v>
      </c>
      <c r="D99" s="21" t="s">
        <v>17</v>
      </c>
      <c r="E99" s="21" t="s">
        <v>60</v>
      </c>
      <c r="F99" s="24">
        <v>2244466.08</v>
      </c>
      <c r="G99" s="24">
        <v>98308.07</v>
      </c>
      <c r="H99" s="27">
        <v>111897.49</v>
      </c>
      <c r="I99" s="27">
        <v>7424.4</v>
      </c>
      <c r="J99" s="23">
        <f t="shared" si="5"/>
        <v>2146158.0100000002</v>
      </c>
      <c r="K99" s="24">
        <f t="shared" si="6"/>
        <v>19.179679633564614</v>
      </c>
      <c r="L99" s="311">
        <f t="shared" si="7"/>
        <v>4.3800203030914149E-2</v>
      </c>
      <c r="M99" s="26">
        <f t="shared" si="8"/>
        <v>15.071586929583537</v>
      </c>
      <c r="N99" s="24">
        <f t="shared" si="9"/>
        <v>302.30942298367546</v>
      </c>
      <c r="O99" s="82"/>
    </row>
    <row r="100" spans="1:15" x14ac:dyDescent="0.25">
      <c r="A100" s="59" t="s">
        <v>117</v>
      </c>
      <c r="B100" s="21">
        <v>7</v>
      </c>
      <c r="C100" s="21" t="s">
        <v>100</v>
      </c>
      <c r="D100" s="21" t="s">
        <v>17</v>
      </c>
      <c r="E100" s="21" t="s">
        <v>60</v>
      </c>
      <c r="F100" s="24">
        <v>598269.9</v>
      </c>
      <c r="G100" s="24">
        <v>19884.439999999999</v>
      </c>
      <c r="H100" s="27">
        <v>23053.95</v>
      </c>
      <c r="I100" s="27">
        <v>1873.4</v>
      </c>
      <c r="J100" s="23">
        <f t="shared" si="5"/>
        <v>578385.46000000008</v>
      </c>
      <c r="K100" s="24">
        <f t="shared" si="6"/>
        <v>25.088345381160281</v>
      </c>
      <c r="L100" s="311">
        <f t="shared" si="7"/>
        <v>3.3236570985770798E-2</v>
      </c>
      <c r="M100" s="26">
        <f t="shared" si="8"/>
        <v>12.305941069712821</v>
      </c>
      <c r="N100" s="24">
        <f t="shared" si="9"/>
        <v>319.34979182235509</v>
      </c>
      <c r="O100" s="82"/>
    </row>
    <row r="101" spans="1:15" x14ac:dyDescent="0.25">
      <c r="A101" s="59" t="s">
        <v>117</v>
      </c>
      <c r="B101" s="21">
        <v>9</v>
      </c>
      <c r="C101" s="21" t="s">
        <v>100</v>
      </c>
      <c r="D101" s="21" t="s">
        <v>17</v>
      </c>
      <c r="E101" s="21" t="s">
        <v>60</v>
      </c>
      <c r="F101" s="24">
        <v>706072.29</v>
      </c>
      <c r="G101" s="24">
        <v>25643.919999999998</v>
      </c>
      <c r="H101" s="27">
        <v>31054.39</v>
      </c>
      <c r="I101" s="27">
        <v>2122.8000000000002</v>
      </c>
      <c r="J101" s="23">
        <f t="shared" si="5"/>
        <v>680428.37</v>
      </c>
      <c r="K101" s="24">
        <f t="shared" si="6"/>
        <v>21.910859302018171</v>
      </c>
      <c r="L101" s="311">
        <f t="shared" si="7"/>
        <v>3.6319114010266565E-2</v>
      </c>
      <c r="M101" s="26">
        <f t="shared" si="8"/>
        <v>14.628975880912002</v>
      </c>
      <c r="N101" s="24">
        <f t="shared" si="9"/>
        <v>332.61366591294518</v>
      </c>
      <c r="O101" s="82"/>
    </row>
    <row r="102" spans="1:15" x14ac:dyDescent="0.25">
      <c r="A102" s="59" t="s">
        <v>117</v>
      </c>
      <c r="B102" s="21">
        <v>10</v>
      </c>
      <c r="C102" s="21" t="s">
        <v>100</v>
      </c>
      <c r="D102" s="21" t="s">
        <v>17</v>
      </c>
      <c r="E102" s="21" t="s">
        <v>60</v>
      </c>
      <c r="F102" s="24">
        <v>1555511.7</v>
      </c>
      <c r="G102" s="24">
        <v>90358.15</v>
      </c>
      <c r="H102" s="27">
        <v>132800.94</v>
      </c>
      <c r="I102" s="27">
        <v>4848.55</v>
      </c>
      <c r="J102" s="23">
        <f t="shared" si="5"/>
        <v>1465153.55</v>
      </c>
      <c r="K102" s="24">
        <f t="shared" si="6"/>
        <v>11.032704663084463</v>
      </c>
      <c r="L102" s="311">
        <f t="shared" si="7"/>
        <v>5.8089019838295008E-2</v>
      </c>
      <c r="M102" s="26">
        <f t="shared" si="8"/>
        <v>27.389825824215485</v>
      </c>
      <c r="N102" s="24">
        <f t="shared" si="9"/>
        <v>320.81997710655759</v>
      </c>
      <c r="O102" s="82"/>
    </row>
    <row r="103" spans="1:15" x14ac:dyDescent="0.25">
      <c r="A103" s="59" t="s">
        <v>117</v>
      </c>
      <c r="B103" s="21">
        <v>11</v>
      </c>
      <c r="C103" s="21" t="s">
        <v>100</v>
      </c>
      <c r="D103" s="21" t="s">
        <v>17</v>
      </c>
      <c r="E103" s="21" t="s">
        <v>60</v>
      </c>
      <c r="F103" s="24">
        <v>1071279.7</v>
      </c>
      <c r="G103" s="24">
        <v>51427.5</v>
      </c>
      <c r="H103" s="27">
        <v>64650.66</v>
      </c>
      <c r="I103" s="27">
        <v>3601.8</v>
      </c>
      <c r="J103" s="23">
        <f t="shared" si="5"/>
        <v>1019852.2</v>
      </c>
      <c r="K103" s="24">
        <f t="shared" si="6"/>
        <v>15.774814982553927</v>
      </c>
      <c r="L103" s="311">
        <f t="shared" si="7"/>
        <v>4.800567022785926E-2</v>
      </c>
      <c r="M103" s="26">
        <f t="shared" si="8"/>
        <v>17.949541895718806</v>
      </c>
      <c r="N103" s="24">
        <f t="shared" si="9"/>
        <v>297.4289799544672</v>
      </c>
      <c r="O103" s="82"/>
    </row>
    <row r="104" spans="1:15" x14ac:dyDescent="0.25">
      <c r="A104" s="59" t="s">
        <v>117</v>
      </c>
      <c r="B104" s="21">
        <v>14</v>
      </c>
      <c r="C104" s="21" t="s">
        <v>100</v>
      </c>
      <c r="D104" s="21" t="s">
        <v>17</v>
      </c>
      <c r="E104" s="21" t="s">
        <v>60</v>
      </c>
      <c r="F104" s="24">
        <v>1562599.98</v>
      </c>
      <c r="G104" s="24">
        <v>63199.17</v>
      </c>
      <c r="H104" s="27">
        <v>81925.08</v>
      </c>
      <c r="I104" s="27">
        <v>5141.7</v>
      </c>
      <c r="J104" s="23">
        <f t="shared" si="5"/>
        <v>1499400.81</v>
      </c>
      <c r="K104" s="24">
        <f t="shared" si="6"/>
        <v>18.302097599416442</v>
      </c>
      <c r="L104" s="311">
        <f t="shared" si="7"/>
        <v>4.0444880845320372E-2</v>
      </c>
      <c r="M104" s="26">
        <f t="shared" si="8"/>
        <v>15.933461695548166</v>
      </c>
      <c r="N104" s="24">
        <f t="shared" si="9"/>
        <v>303.90726413443025</v>
      </c>
      <c r="O104" s="82"/>
    </row>
    <row r="105" spans="1:15" x14ac:dyDescent="0.25">
      <c r="A105" s="59" t="s">
        <v>117</v>
      </c>
      <c r="B105" s="21">
        <v>17</v>
      </c>
      <c r="C105" s="21" t="s">
        <v>100</v>
      </c>
      <c r="D105" s="21" t="s">
        <v>17</v>
      </c>
      <c r="E105" s="21" t="s">
        <v>60</v>
      </c>
      <c r="F105" s="24">
        <v>1518306.38</v>
      </c>
      <c r="G105" s="24">
        <v>68684.639999999999</v>
      </c>
      <c r="H105" s="27">
        <v>88592.98</v>
      </c>
      <c r="I105" s="27">
        <v>4990.05</v>
      </c>
      <c r="J105" s="23">
        <f t="shared" si="5"/>
        <v>1449621.74</v>
      </c>
      <c r="K105" s="24">
        <f t="shared" si="6"/>
        <v>16.362715646318705</v>
      </c>
      <c r="L105" s="311">
        <f t="shared" si="7"/>
        <v>4.5237668039042292E-2</v>
      </c>
      <c r="M105" s="26">
        <f t="shared" si="8"/>
        <v>17.753926313363593</v>
      </c>
      <c r="N105" s="24">
        <f t="shared" si="9"/>
        <v>304.26676686606345</v>
      </c>
      <c r="O105" s="82"/>
    </row>
    <row r="106" spans="1:15" x14ac:dyDescent="0.25">
      <c r="A106" s="59" t="s">
        <v>117</v>
      </c>
      <c r="B106" s="21">
        <v>18</v>
      </c>
      <c r="C106" s="21" t="s">
        <v>100</v>
      </c>
      <c r="D106" s="21" t="s">
        <v>17</v>
      </c>
      <c r="E106" s="21" t="s">
        <v>60</v>
      </c>
      <c r="F106" s="24">
        <v>2224443.59</v>
      </c>
      <c r="G106" s="24">
        <v>127120.95</v>
      </c>
      <c r="H106" s="27">
        <v>176698.28</v>
      </c>
      <c r="I106" s="27">
        <v>7313.54</v>
      </c>
      <c r="J106" s="23">
        <f t="shared" si="5"/>
        <v>2097322.6399999997</v>
      </c>
      <c r="K106" s="24">
        <f t="shared" si="6"/>
        <v>11.869513613828044</v>
      </c>
      <c r="L106" s="311">
        <f t="shared" si="7"/>
        <v>5.7147302170966724E-2</v>
      </c>
      <c r="M106" s="26">
        <f t="shared" si="8"/>
        <v>24.160431200212209</v>
      </c>
      <c r="N106" s="24">
        <f t="shared" si="9"/>
        <v>304.15415653705315</v>
      </c>
      <c r="O106" s="82"/>
    </row>
    <row r="107" spans="1:15" x14ac:dyDescent="0.25">
      <c r="A107" s="59" t="s">
        <v>117</v>
      </c>
      <c r="B107" s="21">
        <v>21</v>
      </c>
      <c r="C107" s="21" t="s">
        <v>100</v>
      </c>
      <c r="D107" s="21" t="s">
        <v>17</v>
      </c>
      <c r="E107" s="21" t="s">
        <v>60</v>
      </c>
      <c r="F107" s="24">
        <v>3878515.87</v>
      </c>
      <c r="G107" s="24">
        <v>189302.64</v>
      </c>
      <c r="H107" s="27">
        <v>277278.98</v>
      </c>
      <c r="I107" s="27">
        <v>12854.37</v>
      </c>
      <c r="J107" s="23">
        <f t="shared" si="5"/>
        <v>3689213.23</v>
      </c>
      <c r="K107" s="24">
        <f t="shared" si="6"/>
        <v>13.305059150174312</v>
      </c>
      <c r="L107" s="311">
        <f t="shared" si="7"/>
        <v>4.8808009647257164E-2</v>
      </c>
      <c r="M107" s="26">
        <f t="shared" si="8"/>
        <v>21.570794990341803</v>
      </c>
      <c r="N107" s="24">
        <f t="shared" si="9"/>
        <v>301.72741799092449</v>
      </c>
      <c r="O107" s="82"/>
    </row>
    <row r="108" spans="1:15" x14ac:dyDescent="0.25">
      <c r="A108" s="59" t="s">
        <v>117</v>
      </c>
      <c r="B108" s="21">
        <v>22</v>
      </c>
      <c r="C108" s="21" t="s">
        <v>100</v>
      </c>
      <c r="D108" s="21" t="s">
        <v>17</v>
      </c>
      <c r="E108" s="21" t="s">
        <v>60</v>
      </c>
      <c r="F108" s="24">
        <v>1465084.79</v>
      </c>
      <c r="G108" s="24">
        <v>54936.26</v>
      </c>
      <c r="H108" s="27">
        <v>69623.63</v>
      </c>
      <c r="I108" s="27">
        <v>5204.43</v>
      </c>
      <c r="J108" s="23">
        <f t="shared" si="5"/>
        <v>1410148.53</v>
      </c>
      <c r="K108" s="24">
        <f t="shared" si="6"/>
        <v>20.253878316887526</v>
      </c>
      <c r="L108" s="311">
        <f t="shared" si="7"/>
        <v>3.7496983365720424E-2</v>
      </c>
      <c r="M108" s="26">
        <f t="shared" si="8"/>
        <v>13.377762790545747</v>
      </c>
      <c r="N108" s="24">
        <f t="shared" si="9"/>
        <v>281.5072524752951</v>
      </c>
      <c r="O108" s="82"/>
    </row>
    <row r="109" spans="1:15" x14ac:dyDescent="0.25">
      <c r="A109" s="59" t="s">
        <v>117</v>
      </c>
      <c r="B109" s="21">
        <v>54</v>
      </c>
      <c r="C109" s="21" t="s">
        <v>100</v>
      </c>
      <c r="D109" s="21" t="s">
        <v>17</v>
      </c>
      <c r="E109" s="21" t="s">
        <v>60</v>
      </c>
      <c r="F109" s="24">
        <v>1163368.8400000001</v>
      </c>
      <c r="G109" s="24">
        <v>94271.6</v>
      </c>
      <c r="H109" s="27">
        <v>101415.22</v>
      </c>
      <c r="I109" s="27">
        <v>3843.35</v>
      </c>
      <c r="J109" s="23">
        <f t="shared" si="5"/>
        <v>1069097.24</v>
      </c>
      <c r="K109" s="24">
        <f t="shared" si="6"/>
        <v>10.541782978925648</v>
      </c>
      <c r="L109" s="311">
        <f t="shared" si="7"/>
        <v>8.1033286055693224E-2</v>
      </c>
      <c r="M109" s="26">
        <f t="shared" si="8"/>
        <v>26.387193464035281</v>
      </c>
      <c r="N109" s="24">
        <f t="shared" si="9"/>
        <v>302.69656419529838</v>
      </c>
      <c r="O109" s="82"/>
    </row>
    <row r="110" spans="1:15" x14ac:dyDescent="0.25">
      <c r="A110" s="59" t="s">
        <v>117</v>
      </c>
      <c r="B110" s="21">
        <v>62</v>
      </c>
      <c r="C110" s="21" t="s">
        <v>100</v>
      </c>
      <c r="D110" s="21" t="s">
        <v>17</v>
      </c>
      <c r="E110" s="21" t="s">
        <v>60</v>
      </c>
      <c r="F110" s="24">
        <v>675602.44</v>
      </c>
      <c r="G110" s="24">
        <v>0</v>
      </c>
      <c r="H110" s="27">
        <v>63071.7</v>
      </c>
      <c r="I110" s="27">
        <v>2094.5500000000002</v>
      </c>
      <c r="J110" s="23">
        <f t="shared" si="5"/>
        <v>675602.44</v>
      </c>
      <c r="K110" s="24">
        <f t="shared" si="6"/>
        <v>10.711657367725937</v>
      </c>
      <c r="L110" s="311">
        <f t="shared" si="7"/>
        <v>0</v>
      </c>
      <c r="M110" s="26">
        <f t="shared" si="8"/>
        <v>30.112291422978679</v>
      </c>
      <c r="N110" s="24">
        <f t="shared" si="9"/>
        <v>322.55254828006008</v>
      </c>
      <c r="O110" s="82"/>
    </row>
    <row r="111" spans="1:15" x14ac:dyDescent="0.25">
      <c r="A111" s="59" t="s">
        <v>117</v>
      </c>
      <c r="B111" s="21">
        <v>63</v>
      </c>
      <c r="C111" s="21" t="s">
        <v>100</v>
      </c>
      <c r="D111" s="21" t="s">
        <v>17</v>
      </c>
      <c r="E111" s="21" t="s">
        <v>60</v>
      </c>
      <c r="F111" s="24">
        <v>1536523.78</v>
      </c>
      <c r="G111" s="24">
        <v>68245.570000000007</v>
      </c>
      <c r="H111" s="27">
        <v>84818.99</v>
      </c>
      <c r="I111" s="27">
        <v>4698.7299999999996</v>
      </c>
      <c r="J111" s="23">
        <f t="shared" si="5"/>
        <v>1468278.21</v>
      </c>
      <c r="K111" s="24">
        <f t="shared" si="6"/>
        <v>17.310724992127351</v>
      </c>
      <c r="L111" s="311">
        <f t="shared" si="7"/>
        <v>4.441556381249108E-2</v>
      </c>
      <c r="M111" s="26">
        <f t="shared" si="8"/>
        <v>18.051471355025722</v>
      </c>
      <c r="N111" s="24">
        <f t="shared" si="9"/>
        <v>327.00831501278009</v>
      </c>
      <c r="O111" s="82"/>
    </row>
    <row r="112" spans="1:15" x14ac:dyDescent="0.25">
      <c r="A112" s="59" t="s">
        <v>117</v>
      </c>
      <c r="B112" s="21">
        <v>64</v>
      </c>
      <c r="C112" s="21" t="s">
        <v>100</v>
      </c>
      <c r="D112" s="21" t="s">
        <v>17</v>
      </c>
      <c r="E112" s="21" t="s">
        <v>60</v>
      </c>
      <c r="F112" s="24">
        <v>1199277.72</v>
      </c>
      <c r="G112" s="24">
        <v>82466.06</v>
      </c>
      <c r="H112" s="27">
        <v>107691.74</v>
      </c>
      <c r="I112" s="27">
        <v>4080.3</v>
      </c>
      <c r="J112" s="23">
        <f t="shared" si="5"/>
        <v>1116811.6599999999</v>
      </c>
      <c r="K112" s="24">
        <f t="shared" si="6"/>
        <v>10.370448652793611</v>
      </c>
      <c r="L112" s="311">
        <f t="shared" si="7"/>
        <v>6.8763105179674308E-2</v>
      </c>
      <c r="M112" s="26">
        <f t="shared" si="8"/>
        <v>26.393093645075115</v>
      </c>
      <c r="N112" s="24">
        <f t="shared" si="9"/>
        <v>293.91900595544445</v>
      </c>
      <c r="O112" s="82"/>
    </row>
    <row r="113" spans="1:15" x14ac:dyDescent="0.25">
      <c r="A113" s="59" t="s">
        <v>117</v>
      </c>
      <c r="B113" s="21">
        <v>68</v>
      </c>
      <c r="C113" s="21" t="s">
        <v>100</v>
      </c>
      <c r="D113" s="21" t="s">
        <v>17</v>
      </c>
      <c r="E113" s="21" t="s">
        <v>60</v>
      </c>
      <c r="F113" s="24">
        <v>1317144.3700000001</v>
      </c>
      <c r="G113" s="24">
        <v>55274.31</v>
      </c>
      <c r="H113" s="27">
        <v>75882.55</v>
      </c>
      <c r="I113" s="27">
        <v>4280.3999999999996</v>
      </c>
      <c r="J113" s="23">
        <f t="shared" si="5"/>
        <v>1261870.06</v>
      </c>
      <c r="K113" s="24">
        <f t="shared" si="6"/>
        <v>16.62925217984899</v>
      </c>
      <c r="L113" s="311">
        <f t="shared" si="7"/>
        <v>4.1965263078944028E-2</v>
      </c>
      <c r="M113" s="26">
        <f t="shared" si="8"/>
        <v>17.727910942902536</v>
      </c>
      <c r="N113" s="24">
        <f t="shared" si="9"/>
        <v>307.71525324736012</v>
      </c>
      <c r="O113" s="82"/>
    </row>
    <row r="114" spans="1:15" x14ac:dyDescent="0.25">
      <c r="A114" s="59" t="s">
        <v>117</v>
      </c>
      <c r="B114" s="21">
        <v>71</v>
      </c>
      <c r="C114" s="21" t="s">
        <v>100</v>
      </c>
      <c r="D114" s="21" t="s">
        <v>17</v>
      </c>
      <c r="E114" s="21" t="s">
        <v>60</v>
      </c>
      <c r="F114" s="24">
        <v>205767.76</v>
      </c>
      <c r="G114" s="24">
        <v>7393.73</v>
      </c>
      <c r="H114" s="27">
        <v>9767.85</v>
      </c>
      <c r="I114" s="27">
        <v>634.52</v>
      </c>
      <c r="J114" s="23">
        <f t="shared" si="5"/>
        <v>198374.03</v>
      </c>
      <c r="K114" s="24">
        <f t="shared" si="6"/>
        <v>20.308873498262155</v>
      </c>
      <c r="L114" s="311">
        <f t="shared" si="7"/>
        <v>3.593240262711709E-2</v>
      </c>
      <c r="M114" s="26">
        <f t="shared" si="8"/>
        <v>15.394077412847508</v>
      </c>
      <c r="N114" s="24">
        <f t="shared" si="9"/>
        <v>324.28884826325412</v>
      </c>
      <c r="O114" s="82"/>
    </row>
    <row r="115" spans="1:15" x14ac:dyDescent="0.25">
      <c r="A115" s="59" t="s">
        <v>117</v>
      </c>
      <c r="B115" s="21">
        <v>74</v>
      </c>
      <c r="C115" s="21" t="s">
        <v>100</v>
      </c>
      <c r="D115" s="21" t="s">
        <v>17</v>
      </c>
      <c r="E115" s="21" t="s">
        <v>60</v>
      </c>
      <c r="F115" s="24">
        <v>1224812.83</v>
      </c>
      <c r="G115" s="24">
        <v>58101.65</v>
      </c>
      <c r="H115" s="27">
        <v>71580.52</v>
      </c>
      <c r="I115" s="27">
        <v>3918.51</v>
      </c>
      <c r="J115" s="23">
        <f t="shared" si="5"/>
        <v>1166711.1800000002</v>
      </c>
      <c r="K115" s="24">
        <f t="shared" si="6"/>
        <v>16.299283380450436</v>
      </c>
      <c r="L115" s="311">
        <f t="shared" si="7"/>
        <v>4.7437166379127496E-2</v>
      </c>
      <c r="M115" s="26">
        <f t="shared" si="8"/>
        <v>18.26728016516482</v>
      </c>
      <c r="N115" s="24">
        <f t="shared" si="9"/>
        <v>312.57106144937745</v>
      </c>
      <c r="O115" s="82"/>
    </row>
    <row r="116" spans="1:15" x14ac:dyDescent="0.25">
      <c r="A116" s="59" t="s">
        <v>117</v>
      </c>
      <c r="B116" s="21">
        <v>67</v>
      </c>
      <c r="C116" s="21" t="s">
        <v>100</v>
      </c>
      <c r="D116" s="21" t="s">
        <v>17</v>
      </c>
      <c r="E116" s="21" t="s">
        <v>59</v>
      </c>
      <c r="F116" s="24">
        <v>230201</v>
      </c>
      <c r="G116" s="24">
        <v>15645.51</v>
      </c>
      <c r="H116" s="27">
        <v>15354</v>
      </c>
      <c r="I116" s="27">
        <v>2116.8000000000002</v>
      </c>
      <c r="J116" s="23">
        <f t="shared" si="5"/>
        <v>214555.49</v>
      </c>
      <c r="K116" s="24">
        <f t="shared" si="6"/>
        <v>13.973914940732056</v>
      </c>
      <c r="L116" s="311">
        <f t="shared" si="7"/>
        <v>6.7964561405033E-2</v>
      </c>
      <c r="M116" s="26">
        <f t="shared" si="8"/>
        <v>7.2534013605442169</v>
      </c>
      <c r="N116" s="24">
        <f t="shared" si="9"/>
        <v>108.74952758881329</v>
      </c>
      <c r="O116" s="82"/>
    </row>
    <row r="117" spans="1:15" x14ac:dyDescent="0.25">
      <c r="A117" s="59" t="s">
        <v>117</v>
      </c>
      <c r="B117" s="21">
        <v>70</v>
      </c>
      <c r="C117" s="21" t="s">
        <v>100</v>
      </c>
      <c r="D117" s="21" t="s">
        <v>17</v>
      </c>
      <c r="E117" s="21" t="s">
        <v>59</v>
      </c>
      <c r="F117" s="24">
        <v>46390</v>
      </c>
      <c r="G117" s="24">
        <v>3192.94</v>
      </c>
      <c r="H117" s="27">
        <v>3542</v>
      </c>
      <c r="I117" s="27">
        <v>441.28</v>
      </c>
      <c r="J117" s="23">
        <f t="shared" si="5"/>
        <v>43197.06</v>
      </c>
      <c r="K117" s="24">
        <f t="shared" si="6"/>
        <v>12.1956691134952</v>
      </c>
      <c r="L117" s="311">
        <f t="shared" si="7"/>
        <v>6.8828195731838765E-2</v>
      </c>
      <c r="M117" s="26">
        <f t="shared" si="8"/>
        <v>8.0266497461928932</v>
      </c>
      <c r="N117" s="24">
        <f t="shared" si="9"/>
        <v>105.12599709934736</v>
      </c>
      <c r="O117" s="82"/>
    </row>
    <row r="118" spans="1:15" x14ac:dyDescent="0.25">
      <c r="A118" s="59" t="s">
        <v>117</v>
      </c>
      <c r="B118" s="21">
        <v>67</v>
      </c>
      <c r="C118" s="21" t="s">
        <v>100</v>
      </c>
      <c r="D118" s="21" t="s">
        <v>17</v>
      </c>
      <c r="E118" s="21" t="s">
        <v>60</v>
      </c>
      <c r="F118" s="24">
        <v>185071</v>
      </c>
      <c r="G118" s="24">
        <v>11682.29</v>
      </c>
      <c r="H118" s="27">
        <v>11987</v>
      </c>
      <c r="I118" s="27">
        <v>1741.74</v>
      </c>
      <c r="J118" s="23">
        <f t="shared" si="5"/>
        <v>173388.71</v>
      </c>
      <c r="K118" s="24">
        <f t="shared" si="6"/>
        <v>14.464729290064236</v>
      </c>
      <c r="L118" s="311">
        <f t="shared" si="7"/>
        <v>6.3123287819269361E-2</v>
      </c>
      <c r="M118" s="26">
        <f t="shared" si="8"/>
        <v>6.8821982615086066</v>
      </c>
      <c r="N118" s="24">
        <f t="shared" si="9"/>
        <v>106.25638729087005</v>
      </c>
      <c r="O118" s="82"/>
    </row>
    <row r="119" spans="1:15" x14ac:dyDescent="0.25">
      <c r="A119" s="59" t="s">
        <v>117</v>
      </c>
      <c r="B119" s="21">
        <v>70</v>
      </c>
      <c r="C119" s="21" t="s">
        <v>100</v>
      </c>
      <c r="D119" s="21" t="s">
        <v>17</v>
      </c>
      <c r="E119" s="21" t="s">
        <v>60</v>
      </c>
      <c r="F119" s="24">
        <v>46056</v>
      </c>
      <c r="G119" s="24">
        <v>2693.76</v>
      </c>
      <c r="H119" s="27">
        <v>2848</v>
      </c>
      <c r="I119" s="27">
        <v>436.16</v>
      </c>
      <c r="J119" s="23">
        <f t="shared" si="5"/>
        <v>43362.239999999998</v>
      </c>
      <c r="K119" s="24">
        <f t="shared" si="6"/>
        <v>15.225505617977527</v>
      </c>
      <c r="L119" s="311">
        <f t="shared" si="7"/>
        <v>5.8488796248045864E-2</v>
      </c>
      <c r="M119" s="26">
        <f t="shared" si="8"/>
        <v>6.5297138664710195</v>
      </c>
      <c r="N119" s="24">
        <f t="shared" si="9"/>
        <v>105.59427732942039</v>
      </c>
      <c r="O119" s="82"/>
    </row>
    <row r="120" spans="1:15" x14ac:dyDescent="0.25">
      <c r="A120" s="59" t="s">
        <v>117</v>
      </c>
      <c r="B120" s="21">
        <v>67</v>
      </c>
      <c r="C120" s="21" t="s">
        <v>100</v>
      </c>
      <c r="D120" s="21" t="s">
        <v>17</v>
      </c>
      <c r="E120" s="21" t="s">
        <v>27</v>
      </c>
      <c r="F120" s="24">
        <v>1170869</v>
      </c>
      <c r="G120" s="24">
        <v>144208.49</v>
      </c>
      <c r="H120" s="27">
        <v>122038</v>
      </c>
      <c r="I120" s="27">
        <v>11748.24</v>
      </c>
      <c r="J120" s="23">
        <f t="shared" si="5"/>
        <v>1026660.51</v>
      </c>
      <c r="K120" s="24">
        <f t="shared" si="6"/>
        <v>8.4126297546665789</v>
      </c>
      <c r="L120" s="311">
        <f t="shared" si="7"/>
        <v>0.12316364170543416</v>
      </c>
      <c r="M120" s="26">
        <f t="shared" si="8"/>
        <v>10.387768721102054</v>
      </c>
      <c r="N120" s="24">
        <f t="shared" si="9"/>
        <v>99.663353830020498</v>
      </c>
      <c r="O120" s="82"/>
    </row>
    <row r="121" spans="1:15" x14ac:dyDescent="0.25">
      <c r="A121" s="59" t="s">
        <v>117</v>
      </c>
      <c r="B121" s="21">
        <v>70</v>
      </c>
      <c r="C121" s="21" t="s">
        <v>100</v>
      </c>
      <c r="D121" s="21" t="s">
        <v>17</v>
      </c>
      <c r="E121" s="21" t="s">
        <v>27</v>
      </c>
      <c r="F121" s="24">
        <v>357576</v>
      </c>
      <c r="G121" s="24">
        <v>51475.42</v>
      </c>
      <c r="H121" s="27">
        <v>39291</v>
      </c>
      <c r="I121" s="27">
        <v>3432.24</v>
      </c>
      <c r="J121" s="23">
        <f t="shared" si="5"/>
        <v>306100.58</v>
      </c>
      <c r="K121" s="24">
        <f t="shared" si="6"/>
        <v>7.7906029370593775</v>
      </c>
      <c r="L121" s="311">
        <f t="shared" si="7"/>
        <v>0.14395658545316239</v>
      </c>
      <c r="M121" s="26">
        <f t="shared" si="8"/>
        <v>11.447626040137054</v>
      </c>
      <c r="N121" s="24">
        <f t="shared" si="9"/>
        <v>104.18152576742885</v>
      </c>
      <c r="O121" s="82"/>
    </row>
    <row r="122" spans="1:15" x14ac:dyDescent="0.25">
      <c r="A122" s="59" t="s">
        <v>117</v>
      </c>
      <c r="B122" s="21">
        <v>75</v>
      </c>
      <c r="C122" s="21" t="s">
        <v>100</v>
      </c>
      <c r="D122" s="21" t="s">
        <v>17</v>
      </c>
      <c r="E122" s="21" t="s">
        <v>27</v>
      </c>
      <c r="F122" s="24">
        <v>597583</v>
      </c>
      <c r="G122" s="24">
        <v>74289.06</v>
      </c>
      <c r="H122" s="27">
        <v>66808</v>
      </c>
      <c r="I122" s="27">
        <v>5649.84</v>
      </c>
      <c r="J122" s="23">
        <f t="shared" si="5"/>
        <v>523293.94</v>
      </c>
      <c r="K122" s="24">
        <f t="shared" si="6"/>
        <v>7.8328035564603038</v>
      </c>
      <c r="L122" s="311">
        <f t="shared" si="7"/>
        <v>0.12431588582673871</v>
      </c>
      <c r="M122" s="26">
        <f t="shared" si="8"/>
        <v>11.824759639211022</v>
      </c>
      <c r="N122" s="24">
        <f t="shared" si="9"/>
        <v>105.76989790861334</v>
      </c>
      <c r="O122" s="82"/>
    </row>
    <row r="123" spans="1:15" x14ac:dyDescent="0.25">
      <c r="A123" s="59" t="s">
        <v>117</v>
      </c>
      <c r="B123" s="21">
        <v>5</v>
      </c>
      <c r="C123" s="21" t="s">
        <v>100</v>
      </c>
      <c r="D123" s="21" t="s">
        <v>18</v>
      </c>
      <c r="E123" s="21" t="s">
        <v>27</v>
      </c>
      <c r="F123" s="24">
        <v>3637618.4</v>
      </c>
      <c r="G123" s="24">
        <v>163578.81</v>
      </c>
      <c r="H123" s="27">
        <v>174745.54</v>
      </c>
      <c r="I123" s="27">
        <v>11809.04</v>
      </c>
      <c r="J123" s="23">
        <f t="shared" si="5"/>
        <v>3474039.59</v>
      </c>
      <c r="K123" s="24">
        <f t="shared" si="6"/>
        <v>19.880562273577912</v>
      </c>
      <c r="L123" s="311">
        <f t="shared" si="7"/>
        <v>4.4968655865607013E-2</v>
      </c>
      <c r="M123" s="26">
        <f t="shared" si="8"/>
        <v>14.797607595536977</v>
      </c>
      <c r="N123" s="24">
        <f t="shared" si="9"/>
        <v>308.03675828009727</v>
      </c>
      <c r="O123" s="82"/>
    </row>
    <row r="124" spans="1:15" x14ac:dyDescent="0.25">
      <c r="A124" s="59" t="s">
        <v>117</v>
      </c>
      <c r="B124" s="21">
        <v>23</v>
      </c>
      <c r="C124" s="21" t="s">
        <v>100</v>
      </c>
      <c r="D124" s="21" t="s">
        <v>18</v>
      </c>
      <c r="E124" s="21" t="s">
        <v>27</v>
      </c>
      <c r="F124" s="24">
        <v>3547903.57</v>
      </c>
      <c r="G124" s="24">
        <v>156962.88</v>
      </c>
      <c r="H124" s="27">
        <v>142314.07999999999</v>
      </c>
      <c r="I124" s="27">
        <v>10786.37</v>
      </c>
      <c r="J124" s="23">
        <f t="shared" si="5"/>
        <v>3390940.69</v>
      </c>
      <c r="K124" s="24">
        <f t="shared" si="6"/>
        <v>23.827162358074482</v>
      </c>
      <c r="L124" s="311">
        <f t="shared" si="7"/>
        <v>4.4241022029806752E-2</v>
      </c>
      <c r="M124" s="26">
        <f t="shared" si="8"/>
        <v>13.19388079585625</v>
      </c>
      <c r="N124" s="24">
        <f t="shared" si="9"/>
        <v>328.92470497488955</v>
      </c>
      <c r="O124" s="82"/>
    </row>
    <row r="125" spans="1:15" x14ac:dyDescent="0.25">
      <c r="A125" s="59" t="s">
        <v>117</v>
      </c>
      <c r="B125" s="21">
        <v>32</v>
      </c>
      <c r="C125" s="21" t="s">
        <v>100</v>
      </c>
      <c r="D125" s="21" t="s">
        <v>18</v>
      </c>
      <c r="E125" s="21" t="s">
        <v>27</v>
      </c>
      <c r="F125" s="24">
        <v>3649018.08</v>
      </c>
      <c r="G125" s="24">
        <v>0</v>
      </c>
      <c r="H125" s="27">
        <v>313230.76</v>
      </c>
      <c r="I125" s="27">
        <v>10804.73</v>
      </c>
      <c r="J125" s="23">
        <f t="shared" si="5"/>
        <v>3649018.08</v>
      </c>
      <c r="K125" s="24">
        <f t="shared" si="6"/>
        <v>11.649616021108526</v>
      </c>
      <c r="L125" s="311">
        <f t="shared" si="7"/>
        <v>0</v>
      </c>
      <c r="M125" s="26">
        <f t="shared" si="8"/>
        <v>28.990151535484923</v>
      </c>
      <c r="N125" s="24">
        <f t="shared" si="9"/>
        <v>337.72413378214912</v>
      </c>
      <c r="O125" s="82"/>
    </row>
    <row r="126" spans="1:15" x14ac:dyDescent="0.25">
      <c r="A126" s="59" t="s">
        <v>117</v>
      </c>
      <c r="B126" s="21">
        <v>46</v>
      </c>
      <c r="C126" s="21" t="s">
        <v>100</v>
      </c>
      <c r="D126" s="21" t="s">
        <v>18</v>
      </c>
      <c r="E126" s="21" t="s">
        <v>27</v>
      </c>
      <c r="F126" s="24">
        <v>3065312.15</v>
      </c>
      <c r="G126" s="24">
        <v>129062.96</v>
      </c>
      <c r="H126" s="27">
        <v>102834.74</v>
      </c>
      <c r="I126" s="27">
        <v>9018.7800000000007</v>
      </c>
      <c r="J126" s="23">
        <f t="shared" si="5"/>
        <v>2936249.19</v>
      </c>
      <c r="K126" s="24">
        <f t="shared" si="6"/>
        <v>28.553086145790807</v>
      </c>
      <c r="L126" s="311">
        <f t="shared" si="7"/>
        <v>4.2104344903340432E-2</v>
      </c>
      <c r="M126" s="26">
        <f t="shared" si="8"/>
        <v>11.402289444913835</v>
      </c>
      <c r="N126" s="24">
        <f t="shared" si="9"/>
        <v>339.88102049279388</v>
      </c>
      <c r="O126" s="82"/>
    </row>
    <row r="127" spans="1:15" x14ac:dyDescent="0.25">
      <c r="A127" s="59" t="s">
        <v>117</v>
      </c>
      <c r="B127" s="21">
        <v>5</v>
      </c>
      <c r="C127" s="21" t="s">
        <v>100</v>
      </c>
      <c r="D127" s="21" t="s">
        <v>18</v>
      </c>
      <c r="E127" s="21" t="s">
        <v>59</v>
      </c>
      <c r="F127" s="24">
        <v>701609.38</v>
      </c>
      <c r="G127" s="24">
        <v>16725.650000000001</v>
      </c>
      <c r="H127" s="27">
        <v>22564.21</v>
      </c>
      <c r="I127" s="27">
        <v>2282.37</v>
      </c>
      <c r="J127" s="23">
        <f t="shared" si="5"/>
        <v>684883.73</v>
      </c>
      <c r="K127" s="24">
        <f t="shared" si="6"/>
        <v>30.352657150416523</v>
      </c>
      <c r="L127" s="311">
        <f t="shared" si="7"/>
        <v>2.3838977181291392E-2</v>
      </c>
      <c r="M127" s="26">
        <f t="shared" si="8"/>
        <v>9.8863067776039824</v>
      </c>
      <c r="N127" s="24">
        <f t="shared" si="9"/>
        <v>307.4038740432095</v>
      </c>
      <c r="O127" s="82"/>
    </row>
    <row r="128" spans="1:15" x14ac:dyDescent="0.25">
      <c r="A128" s="59" t="s">
        <v>117</v>
      </c>
      <c r="B128" s="21">
        <v>23</v>
      </c>
      <c r="C128" s="21" t="s">
        <v>100</v>
      </c>
      <c r="D128" s="21" t="s">
        <v>18</v>
      </c>
      <c r="E128" s="21" t="s">
        <v>59</v>
      </c>
      <c r="F128" s="24">
        <v>523965.3</v>
      </c>
      <c r="G128" s="24">
        <v>15472.8</v>
      </c>
      <c r="H128" s="27">
        <v>18207.3</v>
      </c>
      <c r="I128" s="27">
        <v>1544.6</v>
      </c>
      <c r="J128" s="23">
        <f t="shared" si="5"/>
        <v>508492.5</v>
      </c>
      <c r="K128" s="24">
        <f t="shared" si="6"/>
        <v>27.927946483004071</v>
      </c>
      <c r="L128" s="311">
        <f t="shared" si="7"/>
        <v>2.9530199805216109E-2</v>
      </c>
      <c r="M128" s="26">
        <f t="shared" si="8"/>
        <v>11.787712029004274</v>
      </c>
      <c r="N128" s="24">
        <f t="shared" si="9"/>
        <v>339.22394147352065</v>
      </c>
      <c r="O128" s="82"/>
    </row>
    <row r="129" spans="1:15" x14ac:dyDescent="0.25">
      <c r="A129" s="59" t="s">
        <v>117</v>
      </c>
      <c r="B129" s="21">
        <v>32</v>
      </c>
      <c r="C129" s="21" t="s">
        <v>100</v>
      </c>
      <c r="D129" s="21" t="s">
        <v>18</v>
      </c>
      <c r="E129" s="21" t="s">
        <v>59</v>
      </c>
      <c r="F129" s="24">
        <v>595484.37</v>
      </c>
      <c r="G129" s="24">
        <v>0</v>
      </c>
      <c r="H129" s="27">
        <v>52527.31</v>
      </c>
      <c r="I129" s="27">
        <v>1958.55</v>
      </c>
      <c r="J129" s="23">
        <f t="shared" si="5"/>
        <v>595484.37</v>
      </c>
      <c r="K129" s="24">
        <f t="shared" si="6"/>
        <v>11.336662204860671</v>
      </c>
      <c r="L129" s="311">
        <f t="shared" si="7"/>
        <v>0</v>
      </c>
      <c r="M129" s="26">
        <f t="shared" si="8"/>
        <v>26.819488907610221</v>
      </c>
      <c r="N129" s="24">
        <f t="shared" si="9"/>
        <v>304.04348625258484</v>
      </c>
      <c r="O129" s="82"/>
    </row>
    <row r="130" spans="1:15" x14ac:dyDescent="0.25">
      <c r="A130" s="59" t="s">
        <v>117</v>
      </c>
      <c r="B130" s="21">
        <v>46</v>
      </c>
      <c r="C130" s="21" t="s">
        <v>100</v>
      </c>
      <c r="D130" s="21" t="s">
        <v>18</v>
      </c>
      <c r="E130" s="21" t="s">
        <v>59</v>
      </c>
      <c r="F130" s="24">
        <v>27807.68</v>
      </c>
      <c r="G130" s="24">
        <v>301.29000000000002</v>
      </c>
      <c r="H130" s="27">
        <v>301.3</v>
      </c>
      <c r="I130" s="27">
        <v>77.599999999999994</v>
      </c>
      <c r="J130" s="23">
        <f t="shared" si="5"/>
        <v>27506.39</v>
      </c>
      <c r="K130" s="24">
        <f t="shared" si="6"/>
        <v>91.292366412213738</v>
      </c>
      <c r="L130" s="311">
        <f t="shared" si="7"/>
        <v>1.0834776579707477E-2</v>
      </c>
      <c r="M130" s="26">
        <f t="shared" si="8"/>
        <v>3.882731958762887</v>
      </c>
      <c r="N130" s="24">
        <f t="shared" si="9"/>
        <v>358.34639175257735</v>
      </c>
      <c r="O130" s="82"/>
    </row>
    <row r="131" spans="1:15" x14ac:dyDescent="0.25">
      <c r="A131" s="59" t="s">
        <v>117</v>
      </c>
      <c r="B131" s="21">
        <v>5</v>
      </c>
      <c r="C131" s="21" t="s">
        <v>100</v>
      </c>
      <c r="D131" s="21" t="s">
        <v>18</v>
      </c>
      <c r="E131" s="21" t="s">
        <v>60</v>
      </c>
      <c r="F131" s="24">
        <v>797854.09</v>
      </c>
      <c r="G131" s="24">
        <v>16999.57</v>
      </c>
      <c r="H131" s="27">
        <v>22988.720000000001</v>
      </c>
      <c r="I131" s="27">
        <v>2477.81</v>
      </c>
      <c r="J131" s="23">
        <f t="shared" si="5"/>
        <v>780854.52</v>
      </c>
      <c r="K131" s="24">
        <f t="shared" si="6"/>
        <v>33.966855048910944</v>
      </c>
      <c r="L131" s="311">
        <f t="shared" si="7"/>
        <v>2.1306615098006205E-2</v>
      </c>
      <c r="M131" s="26">
        <f t="shared" si="8"/>
        <v>9.2778380908947824</v>
      </c>
      <c r="N131" s="24">
        <f t="shared" si="9"/>
        <v>321.99970538499724</v>
      </c>
      <c r="O131" s="82"/>
    </row>
    <row r="132" spans="1:15" x14ac:dyDescent="0.25">
      <c r="A132" s="59" t="s">
        <v>117</v>
      </c>
      <c r="B132" s="21">
        <v>23</v>
      </c>
      <c r="C132" s="21" t="s">
        <v>100</v>
      </c>
      <c r="D132" s="21" t="s">
        <v>18</v>
      </c>
      <c r="E132" s="21" t="s">
        <v>60</v>
      </c>
      <c r="F132" s="24">
        <v>468118.35</v>
      </c>
      <c r="G132" s="24">
        <v>12210.68</v>
      </c>
      <c r="H132" s="27">
        <v>13773.77</v>
      </c>
      <c r="I132" s="27">
        <v>1196.27</v>
      </c>
      <c r="J132" s="23">
        <f t="shared" ref="J132:J195" si="10">F132-G132</f>
        <v>455907.67</v>
      </c>
      <c r="K132" s="24">
        <f t="shared" ref="K132:K195" si="11">J132/H132</f>
        <v>33.099701098537288</v>
      </c>
      <c r="L132" s="311">
        <f t="shared" ref="L132:L195" si="12">G132/F132</f>
        <v>2.6084600187110805E-2</v>
      </c>
      <c r="M132" s="26">
        <f t="shared" ref="M132:M195" si="13">H132/I132</f>
        <v>11.513930801574896</v>
      </c>
      <c r="N132" s="24">
        <f t="shared" ref="N132:N195" si="14">F132/I132</f>
        <v>391.31496234127746</v>
      </c>
      <c r="O132" s="82"/>
    </row>
    <row r="133" spans="1:15" x14ac:dyDescent="0.25">
      <c r="A133" s="59" t="s">
        <v>117</v>
      </c>
      <c r="B133" s="21">
        <v>32</v>
      </c>
      <c r="C133" s="21" t="s">
        <v>100</v>
      </c>
      <c r="D133" s="21" t="s">
        <v>18</v>
      </c>
      <c r="E133" s="21" t="s">
        <v>60</v>
      </c>
      <c r="F133" s="24">
        <v>634081.38</v>
      </c>
      <c r="G133" s="24">
        <v>0</v>
      </c>
      <c r="H133" s="27">
        <v>46229.04</v>
      </c>
      <c r="I133" s="27">
        <v>1964.31</v>
      </c>
      <c r="J133" s="23">
        <f t="shared" si="10"/>
        <v>634081.38</v>
      </c>
      <c r="K133" s="24">
        <f t="shared" si="11"/>
        <v>13.716083656506818</v>
      </c>
      <c r="L133" s="311">
        <f t="shared" si="12"/>
        <v>0</v>
      </c>
      <c r="M133" s="26">
        <f t="shared" si="13"/>
        <v>23.534493028086199</v>
      </c>
      <c r="N133" s="24">
        <f t="shared" si="14"/>
        <v>322.80107518670678</v>
      </c>
      <c r="O133" s="82"/>
    </row>
    <row r="134" spans="1:15" x14ac:dyDescent="0.25">
      <c r="A134" s="59" t="s">
        <v>117</v>
      </c>
      <c r="B134" s="21">
        <v>46</v>
      </c>
      <c r="C134" s="21" t="s">
        <v>100</v>
      </c>
      <c r="D134" s="21" t="s">
        <v>18</v>
      </c>
      <c r="E134" s="21" t="s">
        <v>60</v>
      </c>
      <c r="F134" s="24">
        <v>34759.599999999999</v>
      </c>
      <c r="G134" s="24">
        <v>215</v>
      </c>
      <c r="H134" s="27">
        <v>242.28</v>
      </c>
      <c r="I134" s="27">
        <v>97</v>
      </c>
      <c r="J134" s="23">
        <f t="shared" si="10"/>
        <v>34544.6</v>
      </c>
      <c r="K134" s="24">
        <f t="shared" si="11"/>
        <v>142.58131087997359</v>
      </c>
      <c r="L134" s="311">
        <f t="shared" si="12"/>
        <v>6.1853416034706957E-3</v>
      </c>
      <c r="M134" s="26">
        <f t="shared" si="13"/>
        <v>2.4977319587628868</v>
      </c>
      <c r="N134" s="24">
        <f t="shared" si="14"/>
        <v>358.34639175257729</v>
      </c>
      <c r="O134" s="82"/>
    </row>
    <row r="135" spans="1:15" x14ac:dyDescent="0.25">
      <c r="A135" s="59" t="s">
        <v>117</v>
      </c>
      <c r="B135" s="21">
        <v>30</v>
      </c>
      <c r="C135" s="21" t="s">
        <v>100</v>
      </c>
      <c r="D135" s="21" t="s">
        <v>18</v>
      </c>
      <c r="E135" s="21" t="s">
        <v>59</v>
      </c>
      <c r="F135" s="24">
        <v>233740</v>
      </c>
      <c r="G135" s="24">
        <v>11965.84</v>
      </c>
      <c r="H135" s="27">
        <v>12138</v>
      </c>
      <c r="I135" s="27">
        <v>1708</v>
      </c>
      <c r="J135" s="23">
        <f t="shared" si="10"/>
        <v>221774.16</v>
      </c>
      <c r="K135" s="24">
        <f t="shared" si="11"/>
        <v>18.271062778052396</v>
      </c>
      <c r="L135" s="311">
        <f t="shared" si="12"/>
        <v>5.1192949430991702E-2</v>
      </c>
      <c r="M135" s="26">
        <f t="shared" si="13"/>
        <v>7.1065573770491799</v>
      </c>
      <c r="N135" s="24">
        <f t="shared" si="14"/>
        <v>136.85011709601875</v>
      </c>
      <c r="O135" s="82"/>
    </row>
    <row r="136" spans="1:15" x14ac:dyDescent="0.25">
      <c r="A136" s="59" t="s">
        <v>117</v>
      </c>
      <c r="B136" s="21">
        <v>33</v>
      </c>
      <c r="C136" s="21" t="s">
        <v>100</v>
      </c>
      <c r="D136" s="21" t="s">
        <v>18</v>
      </c>
      <c r="E136" s="21" t="s">
        <v>59</v>
      </c>
      <c r="F136" s="24">
        <v>23513</v>
      </c>
      <c r="G136" s="24">
        <v>1306.8399999999999</v>
      </c>
      <c r="H136" s="27">
        <v>654</v>
      </c>
      <c r="I136" s="27">
        <v>162.4</v>
      </c>
      <c r="J136" s="23">
        <f t="shared" si="10"/>
        <v>22206.16</v>
      </c>
      <c r="K136" s="24">
        <f t="shared" si="11"/>
        <v>33.954373088685017</v>
      </c>
      <c r="L136" s="311">
        <f t="shared" si="12"/>
        <v>5.5579466678007908E-2</v>
      </c>
      <c r="M136" s="26">
        <f t="shared" si="13"/>
        <v>4.027093596059113</v>
      </c>
      <c r="N136" s="24">
        <f t="shared" si="14"/>
        <v>144.7844827586207</v>
      </c>
      <c r="O136" s="82"/>
    </row>
    <row r="137" spans="1:15" x14ac:dyDescent="0.25">
      <c r="A137" s="59" t="s">
        <v>117</v>
      </c>
      <c r="B137" s="21">
        <v>65</v>
      </c>
      <c r="C137" s="21" t="s">
        <v>100</v>
      </c>
      <c r="D137" s="21" t="s">
        <v>18</v>
      </c>
      <c r="E137" s="21" t="s">
        <v>59</v>
      </c>
      <c r="F137" s="24">
        <v>180061</v>
      </c>
      <c r="G137" s="24">
        <v>10786.99</v>
      </c>
      <c r="H137" s="27">
        <v>11005</v>
      </c>
      <c r="I137" s="27">
        <v>1650.32</v>
      </c>
      <c r="J137" s="23">
        <f t="shared" si="10"/>
        <v>169274.01</v>
      </c>
      <c r="K137" s="24">
        <f t="shared" si="11"/>
        <v>15.381554747841891</v>
      </c>
      <c r="L137" s="311">
        <f t="shared" si="12"/>
        <v>5.9907420263133046E-2</v>
      </c>
      <c r="M137" s="26">
        <f t="shared" si="13"/>
        <v>6.6684037035241657</v>
      </c>
      <c r="N137" s="24">
        <f t="shared" si="14"/>
        <v>109.10671869697998</v>
      </c>
      <c r="O137" s="82"/>
    </row>
    <row r="138" spans="1:15" x14ac:dyDescent="0.25">
      <c r="A138" s="59" t="s">
        <v>117</v>
      </c>
      <c r="B138" s="21">
        <v>80</v>
      </c>
      <c r="C138" s="21" t="s">
        <v>100</v>
      </c>
      <c r="D138" s="21" t="s">
        <v>18</v>
      </c>
      <c r="E138" s="21" t="s">
        <v>59</v>
      </c>
      <c r="F138" s="24">
        <v>81486</v>
      </c>
      <c r="G138" s="24">
        <v>8066.89</v>
      </c>
      <c r="H138" s="27">
        <v>7465</v>
      </c>
      <c r="I138" s="27">
        <v>759.53</v>
      </c>
      <c r="J138" s="23">
        <f t="shared" si="10"/>
        <v>73419.11</v>
      </c>
      <c r="K138" s="24">
        <f t="shared" si="11"/>
        <v>9.8351118553248487</v>
      </c>
      <c r="L138" s="311">
        <f t="shared" si="12"/>
        <v>9.8997251061532052E-2</v>
      </c>
      <c r="M138" s="26">
        <f t="shared" si="13"/>
        <v>9.8284465393072029</v>
      </c>
      <c r="N138" s="24">
        <f t="shared" si="14"/>
        <v>107.28476821192054</v>
      </c>
      <c r="O138" s="82"/>
    </row>
    <row r="139" spans="1:15" x14ac:dyDescent="0.25">
      <c r="A139" s="59" t="s">
        <v>117</v>
      </c>
      <c r="B139" s="21">
        <v>83</v>
      </c>
      <c r="C139" s="21" t="s">
        <v>100</v>
      </c>
      <c r="D139" s="21" t="s">
        <v>18</v>
      </c>
      <c r="E139" s="21" t="s">
        <v>59</v>
      </c>
      <c r="F139" s="24">
        <v>157689</v>
      </c>
      <c r="G139" s="24">
        <v>11946.71</v>
      </c>
      <c r="H139" s="27">
        <v>10629</v>
      </c>
      <c r="I139" s="27">
        <v>1390.6</v>
      </c>
      <c r="J139" s="23">
        <f t="shared" si="10"/>
        <v>145742.29</v>
      </c>
      <c r="K139" s="24">
        <f t="shared" si="11"/>
        <v>13.711759337661116</v>
      </c>
      <c r="L139" s="311">
        <f t="shared" si="12"/>
        <v>7.5761213527893501E-2</v>
      </c>
      <c r="M139" s="26">
        <f t="shared" si="13"/>
        <v>7.6434632532719693</v>
      </c>
      <c r="N139" s="24">
        <f t="shared" si="14"/>
        <v>113.3963756651805</v>
      </c>
      <c r="O139" s="82"/>
    </row>
    <row r="140" spans="1:15" x14ac:dyDescent="0.25">
      <c r="A140" s="59" t="s">
        <v>117</v>
      </c>
      <c r="B140" s="21">
        <v>87</v>
      </c>
      <c r="C140" s="21" t="s">
        <v>100</v>
      </c>
      <c r="D140" s="21" t="s">
        <v>18</v>
      </c>
      <c r="E140" s="21" t="s">
        <v>59</v>
      </c>
      <c r="F140" s="24">
        <v>282546</v>
      </c>
      <c r="G140" s="24">
        <v>26635.82</v>
      </c>
      <c r="H140" s="27">
        <v>18472</v>
      </c>
      <c r="I140" s="27">
        <v>2675.12</v>
      </c>
      <c r="J140" s="23">
        <f t="shared" si="10"/>
        <v>255910.18</v>
      </c>
      <c r="K140" s="24">
        <f t="shared" si="11"/>
        <v>13.853950844521437</v>
      </c>
      <c r="L140" s="311">
        <f t="shared" si="12"/>
        <v>9.4270738216078093E-2</v>
      </c>
      <c r="M140" s="26">
        <f t="shared" si="13"/>
        <v>6.9051107987679057</v>
      </c>
      <c r="N140" s="24">
        <f t="shared" si="14"/>
        <v>105.61993480666288</v>
      </c>
      <c r="O140" s="82"/>
    </row>
    <row r="141" spans="1:15" x14ac:dyDescent="0.25">
      <c r="A141" s="59" t="s">
        <v>117</v>
      </c>
      <c r="B141" s="21">
        <v>30</v>
      </c>
      <c r="C141" s="21" t="s">
        <v>100</v>
      </c>
      <c r="D141" s="21" t="s">
        <v>18</v>
      </c>
      <c r="E141" s="21" t="s">
        <v>60</v>
      </c>
      <c r="F141" s="24">
        <v>242088</v>
      </c>
      <c r="G141" s="24">
        <v>10952.23</v>
      </c>
      <c r="H141" s="27">
        <v>11033</v>
      </c>
      <c r="I141" s="27">
        <v>1769</v>
      </c>
      <c r="J141" s="23">
        <f t="shared" si="10"/>
        <v>231135.77</v>
      </c>
      <c r="K141" s="24">
        <f t="shared" si="11"/>
        <v>20.94949424453911</v>
      </c>
      <c r="L141" s="311">
        <f t="shared" si="12"/>
        <v>4.5240697597567825E-2</v>
      </c>
      <c r="M141" s="26">
        <f t="shared" si="13"/>
        <v>6.2368569813453929</v>
      </c>
      <c r="N141" s="24">
        <f t="shared" si="14"/>
        <v>136.85019785189374</v>
      </c>
      <c r="O141" s="82"/>
    </row>
    <row r="142" spans="1:15" x14ac:dyDescent="0.25">
      <c r="A142" s="59" t="s">
        <v>117</v>
      </c>
      <c r="B142" s="21">
        <v>65</v>
      </c>
      <c r="C142" s="21" t="s">
        <v>100</v>
      </c>
      <c r="D142" s="21" t="s">
        <v>18</v>
      </c>
      <c r="E142" s="21" t="s">
        <v>60</v>
      </c>
      <c r="F142" s="24">
        <v>106342</v>
      </c>
      <c r="G142" s="24">
        <v>7511.03</v>
      </c>
      <c r="H142" s="27">
        <v>7194</v>
      </c>
      <c r="I142" s="27">
        <v>971.5</v>
      </c>
      <c r="J142" s="23">
        <f t="shared" si="10"/>
        <v>98830.97</v>
      </c>
      <c r="K142" s="24">
        <f t="shared" si="11"/>
        <v>13.737971921045316</v>
      </c>
      <c r="L142" s="311">
        <f t="shared" si="12"/>
        <v>7.0630889018449911E-2</v>
      </c>
      <c r="M142" s="26">
        <f t="shared" si="13"/>
        <v>7.405043746783325</v>
      </c>
      <c r="N142" s="24">
        <f t="shared" si="14"/>
        <v>109.46165723108595</v>
      </c>
      <c r="O142" s="82"/>
    </row>
    <row r="143" spans="1:15" x14ac:dyDescent="0.25">
      <c r="A143" s="59" t="s">
        <v>117</v>
      </c>
      <c r="B143" s="21">
        <v>80</v>
      </c>
      <c r="C143" s="21" t="s">
        <v>100</v>
      </c>
      <c r="D143" s="21" t="s">
        <v>18</v>
      </c>
      <c r="E143" s="21" t="s">
        <v>60</v>
      </c>
      <c r="F143" s="24">
        <v>45672</v>
      </c>
      <c r="G143" s="24">
        <v>6959.69</v>
      </c>
      <c r="H143" s="27">
        <v>5417</v>
      </c>
      <c r="I143" s="27">
        <v>425.14</v>
      </c>
      <c r="J143" s="23">
        <f t="shared" si="10"/>
        <v>38712.31</v>
      </c>
      <c r="K143" s="24">
        <f t="shared" si="11"/>
        <v>7.1464482185711642</v>
      </c>
      <c r="L143" s="311">
        <f t="shared" si="12"/>
        <v>0.15238417411105271</v>
      </c>
      <c r="M143" s="26">
        <f t="shared" si="13"/>
        <v>12.741685091969705</v>
      </c>
      <c r="N143" s="24">
        <f t="shared" si="14"/>
        <v>107.42814131815402</v>
      </c>
      <c r="O143" s="82"/>
    </row>
    <row r="144" spans="1:15" x14ac:dyDescent="0.25">
      <c r="A144" s="59" t="s">
        <v>117</v>
      </c>
      <c r="B144" s="21">
        <v>83</v>
      </c>
      <c r="C144" s="21" t="s">
        <v>100</v>
      </c>
      <c r="D144" s="21" t="s">
        <v>18</v>
      </c>
      <c r="E144" s="21" t="s">
        <v>60</v>
      </c>
      <c r="F144" s="24">
        <v>163436</v>
      </c>
      <c r="G144" s="24">
        <v>11302.54</v>
      </c>
      <c r="H144" s="27">
        <v>10137</v>
      </c>
      <c r="I144" s="27">
        <v>1436.55</v>
      </c>
      <c r="J144" s="23">
        <f t="shared" si="10"/>
        <v>152133.46</v>
      </c>
      <c r="K144" s="24">
        <f t="shared" si="11"/>
        <v>15.007739962513563</v>
      </c>
      <c r="L144" s="311">
        <f t="shared" si="12"/>
        <v>6.9155755157982335E-2</v>
      </c>
      <c r="M144" s="26">
        <f t="shared" si="13"/>
        <v>7.0564895061083845</v>
      </c>
      <c r="N144" s="24">
        <f t="shared" si="14"/>
        <v>113.7697956910654</v>
      </c>
      <c r="O144" s="82"/>
    </row>
    <row r="145" spans="1:15" x14ac:dyDescent="0.25">
      <c r="A145" s="59" t="s">
        <v>117</v>
      </c>
      <c r="B145" s="21">
        <v>87</v>
      </c>
      <c r="C145" s="21" t="s">
        <v>100</v>
      </c>
      <c r="D145" s="21" t="s">
        <v>18</v>
      </c>
      <c r="E145" s="21" t="s">
        <v>60</v>
      </c>
      <c r="F145" s="24">
        <v>143512</v>
      </c>
      <c r="G145" s="24">
        <v>14005.63</v>
      </c>
      <c r="H145" s="27">
        <v>9235</v>
      </c>
      <c r="I145" s="27">
        <v>1356.04</v>
      </c>
      <c r="J145" s="23">
        <f t="shared" si="10"/>
        <v>129506.37</v>
      </c>
      <c r="K145" s="24">
        <f t="shared" si="11"/>
        <v>14.023429344883594</v>
      </c>
      <c r="L145" s="311">
        <f t="shared" si="12"/>
        <v>9.7592048051730856E-2</v>
      </c>
      <c r="M145" s="26">
        <f t="shared" si="13"/>
        <v>6.8102710834488658</v>
      </c>
      <c r="N145" s="24">
        <f t="shared" si="14"/>
        <v>105.83168638093272</v>
      </c>
      <c r="O145" s="82"/>
    </row>
    <row r="146" spans="1:15" x14ac:dyDescent="0.25">
      <c r="A146" s="59" t="s">
        <v>117</v>
      </c>
      <c r="B146" s="21">
        <v>30</v>
      </c>
      <c r="C146" s="21" t="s">
        <v>100</v>
      </c>
      <c r="D146" s="21" t="s">
        <v>18</v>
      </c>
      <c r="E146" s="21" t="s">
        <v>27</v>
      </c>
      <c r="F146" s="24">
        <v>1352631</v>
      </c>
      <c r="G146" s="24">
        <v>112797.78</v>
      </c>
      <c r="H146" s="27">
        <v>103660</v>
      </c>
      <c r="I146" s="27">
        <v>9651.6</v>
      </c>
      <c r="J146" s="23">
        <f t="shared" si="10"/>
        <v>1239833.22</v>
      </c>
      <c r="K146" s="24">
        <f t="shared" si="11"/>
        <v>11.960575149527301</v>
      </c>
      <c r="L146" s="311">
        <f t="shared" si="12"/>
        <v>8.339139055662631E-2</v>
      </c>
      <c r="M146" s="26">
        <f t="shared" si="13"/>
        <v>10.740188155331758</v>
      </c>
      <c r="N146" s="24">
        <f t="shared" si="14"/>
        <v>140.14577893820714</v>
      </c>
      <c r="O146" s="82"/>
    </row>
    <row r="147" spans="1:15" x14ac:dyDescent="0.25">
      <c r="A147" s="59" t="s">
        <v>117</v>
      </c>
      <c r="B147" s="21">
        <v>33</v>
      </c>
      <c r="C147" s="21" t="s">
        <v>100</v>
      </c>
      <c r="D147" s="21" t="s">
        <v>18</v>
      </c>
      <c r="E147" s="21" t="s">
        <v>27</v>
      </c>
      <c r="F147" s="24">
        <v>117771</v>
      </c>
      <c r="G147" s="24">
        <v>17708.740000000002</v>
      </c>
      <c r="H147" s="27">
        <v>11061</v>
      </c>
      <c r="I147" s="27">
        <v>894.6</v>
      </c>
      <c r="J147" s="23">
        <f t="shared" si="10"/>
        <v>100062.26</v>
      </c>
      <c r="K147" s="24">
        <f t="shared" si="11"/>
        <v>9.0464026760690714</v>
      </c>
      <c r="L147" s="311">
        <f t="shared" si="12"/>
        <v>0.15036587954589842</v>
      </c>
      <c r="M147" s="26">
        <f t="shared" si="13"/>
        <v>12.364185110663984</v>
      </c>
      <c r="N147" s="24">
        <f t="shared" si="14"/>
        <v>131.64654594232059</v>
      </c>
      <c r="O147" s="82"/>
    </row>
    <row r="148" spans="1:15" x14ac:dyDescent="0.25">
      <c r="A148" s="59" t="s">
        <v>117</v>
      </c>
      <c r="B148" s="21">
        <v>65</v>
      </c>
      <c r="C148" s="21" t="s">
        <v>100</v>
      </c>
      <c r="D148" s="21" t="s">
        <v>18</v>
      </c>
      <c r="E148" s="21" t="s">
        <v>27</v>
      </c>
      <c r="F148" s="24">
        <v>835153</v>
      </c>
      <c r="G148" s="24">
        <v>104223.47</v>
      </c>
      <c r="H148" s="27">
        <v>94976</v>
      </c>
      <c r="I148" s="27">
        <v>7340.76</v>
      </c>
      <c r="J148" s="23">
        <f t="shared" si="10"/>
        <v>730929.53</v>
      </c>
      <c r="K148" s="24">
        <f t="shared" si="11"/>
        <v>7.6959392899258763</v>
      </c>
      <c r="L148" s="311">
        <f t="shared" si="12"/>
        <v>0.12479566019639515</v>
      </c>
      <c r="M148" s="26">
        <f t="shared" si="13"/>
        <v>12.938169889766181</v>
      </c>
      <c r="N148" s="24">
        <f t="shared" si="14"/>
        <v>113.76928274456596</v>
      </c>
      <c r="O148" s="82"/>
    </row>
    <row r="149" spans="1:15" x14ac:dyDescent="0.25">
      <c r="A149" s="59" t="s">
        <v>117</v>
      </c>
      <c r="B149" s="21">
        <v>80</v>
      </c>
      <c r="C149" s="21" t="s">
        <v>100</v>
      </c>
      <c r="D149" s="21" t="s">
        <v>18</v>
      </c>
      <c r="E149" s="21" t="s">
        <v>27</v>
      </c>
      <c r="F149" s="24">
        <v>418183</v>
      </c>
      <c r="G149" s="24">
        <v>59942.19</v>
      </c>
      <c r="H149" s="27">
        <v>56081</v>
      </c>
      <c r="I149" s="27">
        <v>3910.76</v>
      </c>
      <c r="J149" s="23">
        <f t="shared" si="10"/>
        <v>358240.81</v>
      </c>
      <c r="K149" s="24">
        <f t="shared" si="11"/>
        <v>6.3879176548207059</v>
      </c>
      <c r="L149" s="311">
        <f t="shared" si="12"/>
        <v>0.14333961447500257</v>
      </c>
      <c r="M149" s="26">
        <f t="shared" si="13"/>
        <v>14.340179402469085</v>
      </c>
      <c r="N149" s="24">
        <f t="shared" si="14"/>
        <v>106.93138929517535</v>
      </c>
      <c r="O149" s="82"/>
    </row>
    <row r="150" spans="1:15" x14ac:dyDescent="0.25">
      <c r="A150" s="59" t="s">
        <v>117</v>
      </c>
      <c r="B150" s="21">
        <v>83</v>
      </c>
      <c r="C150" s="21" t="s">
        <v>100</v>
      </c>
      <c r="D150" s="21" t="s">
        <v>18</v>
      </c>
      <c r="E150" s="21" t="s">
        <v>27</v>
      </c>
      <c r="F150" s="24">
        <v>901855</v>
      </c>
      <c r="G150" s="24">
        <v>89242.63</v>
      </c>
      <c r="H150" s="27">
        <v>79643</v>
      </c>
      <c r="I150" s="27">
        <v>7774.38</v>
      </c>
      <c r="J150" s="23">
        <f t="shared" si="10"/>
        <v>812612.37</v>
      </c>
      <c r="K150" s="24">
        <f t="shared" si="11"/>
        <v>10.20318634406037</v>
      </c>
      <c r="L150" s="311">
        <f t="shared" si="12"/>
        <v>9.8954521513990618E-2</v>
      </c>
      <c r="M150" s="26">
        <f t="shared" si="13"/>
        <v>10.244289576789402</v>
      </c>
      <c r="N150" s="24">
        <f t="shared" si="14"/>
        <v>116.00346265554295</v>
      </c>
      <c r="O150" s="82"/>
    </row>
    <row r="151" spans="1:15" x14ac:dyDescent="0.25">
      <c r="A151" s="59" t="s">
        <v>117</v>
      </c>
      <c r="B151" s="21">
        <v>87</v>
      </c>
      <c r="C151" s="21" t="s">
        <v>100</v>
      </c>
      <c r="D151" s="21" t="s">
        <v>18</v>
      </c>
      <c r="E151" s="21" t="s">
        <v>27</v>
      </c>
      <c r="F151" s="24">
        <v>1254344</v>
      </c>
      <c r="G151" s="24">
        <v>292485.84999999998</v>
      </c>
      <c r="H151" s="27">
        <v>159663</v>
      </c>
      <c r="I151" s="27">
        <v>11798.64</v>
      </c>
      <c r="J151" s="23">
        <f t="shared" si="10"/>
        <v>961858.15</v>
      </c>
      <c r="K151" s="24">
        <f t="shared" si="11"/>
        <v>6.0243021238483561</v>
      </c>
      <c r="L151" s="311">
        <f t="shared" si="12"/>
        <v>0.23317833863756671</v>
      </c>
      <c r="M151" s="26">
        <f t="shared" si="13"/>
        <v>13.532322369357825</v>
      </c>
      <c r="N151" s="24">
        <f t="shared" si="14"/>
        <v>106.3125919597513</v>
      </c>
      <c r="O151" s="82"/>
    </row>
    <row r="152" spans="1:15" x14ac:dyDescent="0.25">
      <c r="A152" s="59" t="s">
        <v>117</v>
      </c>
      <c r="B152" s="21">
        <v>501</v>
      </c>
      <c r="C152" s="21" t="s">
        <v>100</v>
      </c>
      <c r="D152" s="21" t="s">
        <v>19</v>
      </c>
      <c r="E152" s="21" t="s">
        <v>27</v>
      </c>
      <c r="F152" s="24">
        <v>110758.9</v>
      </c>
      <c r="G152" s="24">
        <v>1832.45</v>
      </c>
      <c r="H152" s="27">
        <v>1797.43</v>
      </c>
      <c r="I152" s="27">
        <v>183.52</v>
      </c>
      <c r="J152" s="23">
        <f t="shared" si="10"/>
        <v>108926.45</v>
      </c>
      <c r="K152" s="24">
        <f t="shared" si="11"/>
        <v>60.601219518979875</v>
      </c>
      <c r="L152" s="311">
        <f t="shared" si="12"/>
        <v>1.6544494392775663E-2</v>
      </c>
      <c r="M152" s="26">
        <f t="shared" si="13"/>
        <v>9.7941913687881428</v>
      </c>
      <c r="N152" s="24">
        <f t="shared" si="14"/>
        <v>603.5249564080209</v>
      </c>
      <c r="O152" s="82"/>
    </row>
    <row r="153" spans="1:15" x14ac:dyDescent="0.25">
      <c r="A153" s="59" t="s">
        <v>117</v>
      </c>
      <c r="B153" s="21">
        <v>515</v>
      </c>
      <c r="C153" s="21" t="s">
        <v>100</v>
      </c>
      <c r="D153" s="21" t="s">
        <v>19</v>
      </c>
      <c r="E153" s="21" t="s">
        <v>27</v>
      </c>
      <c r="F153" s="24">
        <v>3586675.89</v>
      </c>
      <c r="G153" s="24">
        <v>249243.94</v>
      </c>
      <c r="H153" s="27">
        <v>260050.13</v>
      </c>
      <c r="I153" s="27">
        <v>10248.64</v>
      </c>
      <c r="J153" s="23">
        <f t="shared" si="10"/>
        <v>3337431.95</v>
      </c>
      <c r="K153" s="24">
        <f t="shared" si="11"/>
        <v>12.833802274969061</v>
      </c>
      <c r="L153" s="311">
        <f t="shared" si="12"/>
        <v>6.949162613073466E-2</v>
      </c>
      <c r="M153" s="26">
        <f t="shared" si="13"/>
        <v>25.374111101570552</v>
      </c>
      <c r="N153" s="24">
        <f t="shared" si="14"/>
        <v>349.96603354201147</v>
      </c>
      <c r="O153" s="82"/>
    </row>
    <row r="154" spans="1:15" x14ac:dyDescent="0.25">
      <c r="A154" s="59" t="s">
        <v>117</v>
      </c>
      <c r="B154" s="21">
        <v>612</v>
      </c>
      <c r="C154" s="21" t="s">
        <v>100</v>
      </c>
      <c r="D154" s="21" t="s">
        <v>19</v>
      </c>
      <c r="E154" s="21" t="s">
        <v>27</v>
      </c>
      <c r="F154" s="24">
        <v>3502549.43</v>
      </c>
      <c r="G154" s="24">
        <v>138109.04</v>
      </c>
      <c r="H154" s="27">
        <v>138744.07</v>
      </c>
      <c r="I154" s="27">
        <v>10998.08</v>
      </c>
      <c r="J154" s="23">
        <f t="shared" si="10"/>
        <v>3364440.39</v>
      </c>
      <c r="K154" s="24">
        <f t="shared" si="11"/>
        <v>24.249255409618588</v>
      </c>
      <c r="L154" s="311">
        <f t="shared" si="12"/>
        <v>3.943100383311364E-2</v>
      </c>
      <c r="M154" s="26">
        <f t="shared" si="13"/>
        <v>12.615299215863134</v>
      </c>
      <c r="N154" s="24">
        <f t="shared" si="14"/>
        <v>318.46917189182113</v>
      </c>
      <c r="O154" s="82"/>
    </row>
    <row r="155" spans="1:15" x14ac:dyDescent="0.25">
      <c r="A155" s="59" t="s">
        <v>117</v>
      </c>
      <c r="B155" s="21">
        <v>645</v>
      </c>
      <c r="C155" s="21" t="s">
        <v>100</v>
      </c>
      <c r="D155" s="21" t="s">
        <v>19</v>
      </c>
      <c r="E155" s="21" t="s">
        <v>27</v>
      </c>
      <c r="F155" s="24">
        <v>3589489.56</v>
      </c>
      <c r="G155" s="24">
        <v>210961.38</v>
      </c>
      <c r="H155" s="27">
        <v>156933.76000000001</v>
      </c>
      <c r="I155" s="27">
        <v>11963.56</v>
      </c>
      <c r="J155" s="23">
        <f t="shared" si="10"/>
        <v>3378528.18</v>
      </c>
      <c r="K155" s="24">
        <f t="shared" si="11"/>
        <v>21.528370823460804</v>
      </c>
      <c r="L155" s="311">
        <f t="shared" si="12"/>
        <v>5.8771972023788255E-2</v>
      </c>
      <c r="M155" s="26">
        <f t="shared" si="13"/>
        <v>13.1176472554992</v>
      </c>
      <c r="N155" s="24">
        <f t="shared" si="14"/>
        <v>300.03523700303253</v>
      </c>
      <c r="O155" s="82"/>
    </row>
    <row r="156" spans="1:15" x14ac:dyDescent="0.25">
      <c r="A156" s="59" t="s">
        <v>117</v>
      </c>
      <c r="B156" s="21">
        <v>721</v>
      </c>
      <c r="C156" s="21" t="s">
        <v>100</v>
      </c>
      <c r="D156" s="21" t="s">
        <v>19</v>
      </c>
      <c r="E156" s="21" t="s">
        <v>27</v>
      </c>
      <c r="F156" s="24">
        <v>1883470.5</v>
      </c>
      <c r="G156" s="24">
        <v>92075.520000000004</v>
      </c>
      <c r="H156" s="27">
        <v>108256.03</v>
      </c>
      <c r="I156" s="27">
        <v>5899.8</v>
      </c>
      <c r="J156" s="23">
        <f t="shared" si="10"/>
        <v>1791394.98</v>
      </c>
      <c r="K156" s="24">
        <f t="shared" si="11"/>
        <v>16.547761635079357</v>
      </c>
      <c r="L156" s="311">
        <f t="shared" si="12"/>
        <v>4.8886096171933673E-2</v>
      </c>
      <c r="M156" s="26">
        <f t="shared" si="13"/>
        <v>18.349101664463202</v>
      </c>
      <c r="N156" s="24">
        <f t="shared" si="14"/>
        <v>319.24310993593002</v>
      </c>
      <c r="O156" s="82"/>
    </row>
    <row r="157" spans="1:15" x14ac:dyDescent="0.25">
      <c r="A157" s="59" t="s">
        <v>117</v>
      </c>
      <c r="B157" s="21">
        <v>722</v>
      </c>
      <c r="C157" s="21" t="s">
        <v>100</v>
      </c>
      <c r="D157" s="21" t="s">
        <v>19</v>
      </c>
      <c r="E157" s="21" t="s">
        <v>27</v>
      </c>
      <c r="F157" s="24">
        <v>1942224.19</v>
      </c>
      <c r="G157" s="24">
        <v>105750.83</v>
      </c>
      <c r="H157" s="27">
        <v>126031.57</v>
      </c>
      <c r="I157" s="27">
        <v>5996.8</v>
      </c>
      <c r="J157" s="23">
        <f t="shared" si="10"/>
        <v>1836473.3599999999</v>
      </c>
      <c r="K157" s="24">
        <f t="shared" si="11"/>
        <v>14.571534417924015</v>
      </c>
      <c r="L157" s="311">
        <f t="shared" si="12"/>
        <v>5.4448312684232406E-2</v>
      </c>
      <c r="M157" s="26">
        <f t="shared" si="13"/>
        <v>21.01647045090715</v>
      </c>
      <c r="N157" s="24">
        <f t="shared" si="14"/>
        <v>323.87676594183563</v>
      </c>
      <c r="O157" s="82"/>
    </row>
    <row r="158" spans="1:15" x14ac:dyDescent="0.25">
      <c r="A158" s="59" t="s">
        <v>117</v>
      </c>
      <c r="B158" s="21">
        <v>723</v>
      </c>
      <c r="C158" s="21" t="s">
        <v>100</v>
      </c>
      <c r="D158" s="21" t="s">
        <v>19</v>
      </c>
      <c r="E158" s="21" t="s">
        <v>27</v>
      </c>
      <c r="F158" s="24">
        <v>1964153.47</v>
      </c>
      <c r="G158" s="24">
        <v>78314.58</v>
      </c>
      <c r="H158" s="27">
        <v>89656.320000000007</v>
      </c>
      <c r="I158" s="27">
        <v>5726.68</v>
      </c>
      <c r="J158" s="23">
        <f t="shared" si="10"/>
        <v>1885838.89</v>
      </c>
      <c r="K158" s="24">
        <f t="shared" si="11"/>
        <v>21.03408761367854</v>
      </c>
      <c r="L158" s="311">
        <f t="shared" si="12"/>
        <v>3.9871925079255646E-2</v>
      </c>
      <c r="M158" s="26">
        <f t="shared" si="13"/>
        <v>15.655898356464828</v>
      </c>
      <c r="N158" s="24">
        <f t="shared" si="14"/>
        <v>342.98292728072806</v>
      </c>
      <c r="O158" s="82"/>
    </row>
    <row r="159" spans="1:15" x14ac:dyDescent="0.25">
      <c r="A159" s="59" t="s">
        <v>117</v>
      </c>
      <c r="B159" s="21">
        <v>724</v>
      </c>
      <c r="C159" s="21" t="s">
        <v>100</v>
      </c>
      <c r="D159" s="21" t="s">
        <v>19</v>
      </c>
      <c r="E159" s="21" t="s">
        <v>27</v>
      </c>
      <c r="F159" s="24">
        <v>4714122.87</v>
      </c>
      <c r="G159" s="24">
        <v>228396.33</v>
      </c>
      <c r="H159" s="27">
        <v>276874.15000000002</v>
      </c>
      <c r="I159" s="27">
        <v>13215.72</v>
      </c>
      <c r="J159" s="23">
        <f t="shared" si="10"/>
        <v>4485726.54</v>
      </c>
      <c r="K159" s="24">
        <f t="shared" si="11"/>
        <v>16.201319408113758</v>
      </c>
      <c r="L159" s="311">
        <f t="shared" si="12"/>
        <v>4.844937993735407E-2</v>
      </c>
      <c r="M159" s="26">
        <f t="shared" si="13"/>
        <v>20.95036441450031</v>
      </c>
      <c r="N159" s="24">
        <f t="shared" si="14"/>
        <v>356.70571637413627</v>
      </c>
      <c r="O159" s="82"/>
    </row>
    <row r="160" spans="1:15" x14ac:dyDescent="0.25">
      <c r="A160" s="59" t="s">
        <v>117</v>
      </c>
      <c r="B160" s="21">
        <v>515</v>
      </c>
      <c r="C160" s="21" t="s">
        <v>100</v>
      </c>
      <c r="D160" s="21" t="s">
        <v>19</v>
      </c>
      <c r="E160" s="21" t="s">
        <v>59</v>
      </c>
      <c r="F160" s="24">
        <v>588573.57999999996</v>
      </c>
      <c r="G160" s="24">
        <v>34424.51</v>
      </c>
      <c r="H160" s="27">
        <v>43260.58</v>
      </c>
      <c r="I160" s="27">
        <v>1537.12</v>
      </c>
      <c r="J160" s="23">
        <f t="shared" si="10"/>
        <v>554149.06999999995</v>
      </c>
      <c r="K160" s="24">
        <f t="shared" si="11"/>
        <v>12.809561730332787</v>
      </c>
      <c r="L160" s="311">
        <f t="shared" si="12"/>
        <v>5.848803135200191E-2</v>
      </c>
      <c r="M160" s="26">
        <f t="shared" si="13"/>
        <v>28.143918496929327</v>
      </c>
      <c r="N160" s="24">
        <f t="shared" si="14"/>
        <v>382.90672166128866</v>
      </c>
      <c r="O160" s="82"/>
    </row>
    <row r="161" spans="1:15" x14ac:dyDescent="0.25">
      <c r="A161" s="59" t="s">
        <v>117</v>
      </c>
      <c r="B161" s="21">
        <v>612</v>
      </c>
      <c r="C161" s="21" t="s">
        <v>100</v>
      </c>
      <c r="D161" s="21" t="s">
        <v>19</v>
      </c>
      <c r="E161" s="21" t="s">
        <v>59</v>
      </c>
      <c r="F161" s="24">
        <v>539825.72</v>
      </c>
      <c r="G161" s="24">
        <v>14487.5</v>
      </c>
      <c r="H161" s="27">
        <v>18453.72</v>
      </c>
      <c r="I161" s="27">
        <v>1832.34</v>
      </c>
      <c r="J161" s="23">
        <f t="shared" si="10"/>
        <v>525338.22</v>
      </c>
      <c r="K161" s="24">
        <f t="shared" si="11"/>
        <v>28.467876395653555</v>
      </c>
      <c r="L161" s="311">
        <f t="shared" si="12"/>
        <v>2.6837365214832671E-2</v>
      </c>
      <c r="M161" s="26">
        <f t="shared" si="13"/>
        <v>10.071122171649368</v>
      </c>
      <c r="N161" s="24">
        <f t="shared" si="14"/>
        <v>294.61001779145789</v>
      </c>
      <c r="O161" s="82"/>
    </row>
    <row r="162" spans="1:15" x14ac:dyDescent="0.25">
      <c r="A162" s="59" t="s">
        <v>117</v>
      </c>
      <c r="B162" s="21">
        <v>645</v>
      </c>
      <c r="C162" s="21" t="s">
        <v>100</v>
      </c>
      <c r="D162" s="21" t="s">
        <v>19</v>
      </c>
      <c r="E162" s="21" t="s">
        <v>59</v>
      </c>
      <c r="F162" s="24">
        <v>355467.8</v>
      </c>
      <c r="G162" s="24">
        <v>10531.46</v>
      </c>
      <c r="H162" s="27">
        <v>13755.13</v>
      </c>
      <c r="I162" s="27">
        <v>1292.2</v>
      </c>
      <c r="J162" s="23">
        <f t="shared" si="10"/>
        <v>344936.33999999997</v>
      </c>
      <c r="K162" s="24">
        <f t="shared" si="11"/>
        <v>25.076923300615842</v>
      </c>
      <c r="L162" s="311">
        <f t="shared" si="12"/>
        <v>2.9627043574692279E-2</v>
      </c>
      <c r="M162" s="26">
        <f t="shared" si="13"/>
        <v>10.644737656709486</v>
      </c>
      <c r="N162" s="24">
        <f t="shared" si="14"/>
        <v>275.08729298870139</v>
      </c>
      <c r="O162" s="82"/>
    </row>
    <row r="163" spans="1:15" x14ac:dyDescent="0.25">
      <c r="A163" s="59" t="s">
        <v>117</v>
      </c>
      <c r="B163" s="21">
        <v>721</v>
      </c>
      <c r="C163" s="21" t="s">
        <v>100</v>
      </c>
      <c r="D163" s="21" t="s">
        <v>19</v>
      </c>
      <c r="E163" s="21" t="s">
        <v>59</v>
      </c>
      <c r="F163" s="24">
        <v>284965.98</v>
      </c>
      <c r="G163" s="24">
        <v>11566.32</v>
      </c>
      <c r="H163" s="27">
        <v>15611.58</v>
      </c>
      <c r="I163" s="27">
        <v>858</v>
      </c>
      <c r="J163" s="23">
        <f t="shared" si="10"/>
        <v>273399.65999999997</v>
      </c>
      <c r="K163" s="24">
        <f t="shared" si="11"/>
        <v>17.512619478617793</v>
      </c>
      <c r="L163" s="311">
        <f t="shared" si="12"/>
        <v>4.058842392344518E-2</v>
      </c>
      <c r="M163" s="26">
        <f t="shared" si="13"/>
        <v>18.195314685314685</v>
      </c>
      <c r="N163" s="24">
        <f t="shared" si="14"/>
        <v>332.12818181818182</v>
      </c>
      <c r="O163" s="82"/>
    </row>
    <row r="164" spans="1:15" x14ac:dyDescent="0.25">
      <c r="A164" s="59" t="s">
        <v>117</v>
      </c>
      <c r="B164" s="21">
        <v>722</v>
      </c>
      <c r="C164" s="21" t="s">
        <v>100</v>
      </c>
      <c r="D164" s="21" t="s">
        <v>19</v>
      </c>
      <c r="E164" s="21" t="s">
        <v>59</v>
      </c>
      <c r="F164" s="24">
        <v>399393.46</v>
      </c>
      <c r="G164" s="24">
        <v>15291.91</v>
      </c>
      <c r="H164" s="27">
        <v>20407.5</v>
      </c>
      <c r="I164" s="27">
        <v>1168.96</v>
      </c>
      <c r="J164" s="23">
        <f t="shared" si="10"/>
        <v>384101.55000000005</v>
      </c>
      <c r="K164" s="24">
        <f t="shared" si="11"/>
        <v>18.82158765159868</v>
      </c>
      <c r="L164" s="311">
        <f t="shared" si="12"/>
        <v>3.8287832755198342E-2</v>
      </c>
      <c r="M164" s="26">
        <f t="shared" si="13"/>
        <v>17.457825759649602</v>
      </c>
      <c r="N164" s="24">
        <f t="shared" si="14"/>
        <v>341.66563441007389</v>
      </c>
      <c r="O164" s="82"/>
    </row>
    <row r="165" spans="1:15" x14ac:dyDescent="0.25">
      <c r="A165" s="59" t="s">
        <v>117</v>
      </c>
      <c r="B165" s="21">
        <v>723</v>
      </c>
      <c r="C165" s="21" t="s">
        <v>100</v>
      </c>
      <c r="D165" s="21" t="s">
        <v>19</v>
      </c>
      <c r="E165" s="21" t="s">
        <v>59</v>
      </c>
      <c r="F165" s="24">
        <v>137064.51999999999</v>
      </c>
      <c r="G165" s="24">
        <v>4362.3599999999997</v>
      </c>
      <c r="H165" s="27">
        <v>7448.58</v>
      </c>
      <c r="I165" s="27">
        <v>409.24</v>
      </c>
      <c r="J165" s="23">
        <f t="shared" si="10"/>
        <v>132702.16</v>
      </c>
      <c r="K165" s="24">
        <f t="shared" si="11"/>
        <v>17.815766226582785</v>
      </c>
      <c r="L165" s="311">
        <f t="shared" si="12"/>
        <v>3.1827054878972326E-2</v>
      </c>
      <c r="M165" s="26">
        <f t="shared" si="13"/>
        <v>18.201006744208776</v>
      </c>
      <c r="N165" s="24">
        <f t="shared" si="14"/>
        <v>334.92454305541975</v>
      </c>
      <c r="O165" s="82"/>
    </row>
    <row r="166" spans="1:15" x14ac:dyDescent="0.25">
      <c r="A166" s="59" t="s">
        <v>117</v>
      </c>
      <c r="B166" s="21">
        <v>724</v>
      </c>
      <c r="C166" s="21" t="s">
        <v>100</v>
      </c>
      <c r="D166" s="21" t="s">
        <v>19</v>
      </c>
      <c r="E166" s="21" t="s">
        <v>59</v>
      </c>
      <c r="F166" s="24">
        <v>736840.81</v>
      </c>
      <c r="G166" s="24">
        <v>32949.51</v>
      </c>
      <c r="H166" s="27">
        <v>45738.27</v>
      </c>
      <c r="I166" s="27">
        <v>2074.8000000000002</v>
      </c>
      <c r="J166" s="23">
        <f t="shared" si="10"/>
        <v>703891.3</v>
      </c>
      <c r="K166" s="24">
        <f t="shared" si="11"/>
        <v>15.389547964975502</v>
      </c>
      <c r="L166" s="311">
        <f t="shared" si="12"/>
        <v>4.4717270749430937E-2</v>
      </c>
      <c r="M166" s="26">
        <f t="shared" si="13"/>
        <v>22.044664545980332</v>
      </c>
      <c r="N166" s="24">
        <f t="shared" si="14"/>
        <v>355.13823501060341</v>
      </c>
      <c r="O166" s="82"/>
    </row>
    <row r="167" spans="1:15" x14ac:dyDescent="0.25">
      <c r="A167" s="59" t="s">
        <v>117</v>
      </c>
      <c r="B167" s="21">
        <v>515</v>
      </c>
      <c r="C167" s="21" t="s">
        <v>100</v>
      </c>
      <c r="D167" s="21" t="s">
        <v>19</v>
      </c>
      <c r="E167" s="21" t="s">
        <v>60</v>
      </c>
      <c r="F167" s="24">
        <v>593157.68999999994</v>
      </c>
      <c r="G167" s="24">
        <v>32364.12</v>
      </c>
      <c r="H167" s="27">
        <v>38303.14</v>
      </c>
      <c r="I167" s="27">
        <v>1543.38</v>
      </c>
      <c r="J167" s="23">
        <f t="shared" si="10"/>
        <v>560793.56999999995</v>
      </c>
      <c r="K167" s="24">
        <f t="shared" si="11"/>
        <v>14.640929438160944</v>
      </c>
      <c r="L167" s="311">
        <f t="shared" si="12"/>
        <v>5.4562421672388672E-2</v>
      </c>
      <c r="M167" s="26">
        <f t="shared" si="13"/>
        <v>24.817698816882423</v>
      </c>
      <c r="N167" s="24">
        <f t="shared" si="14"/>
        <v>384.32381526260536</v>
      </c>
      <c r="O167" s="82"/>
    </row>
    <row r="168" spans="1:15" x14ac:dyDescent="0.25">
      <c r="A168" s="59" t="s">
        <v>117</v>
      </c>
      <c r="B168" s="21">
        <v>612</v>
      </c>
      <c r="C168" s="21" t="s">
        <v>100</v>
      </c>
      <c r="D168" s="21" t="s">
        <v>19</v>
      </c>
      <c r="E168" s="21" t="s">
        <v>60</v>
      </c>
      <c r="F168" s="24">
        <v>378029.08</v>
      </c>
      <c r="G168" s="24">
        <v>9135.16</v>
      </c>
      <c r="H168" s="27">
        <v>11769.26</v>
      </c>
      <c r="I168" s="27">
        <v>1249.8800000000001</v>
      </c>
      <c r="J168" s="23">
        <f t="shared" si="10"/>
        <v>368893.92000000004</v>
      </c>
      <c r="K168" s="24">
        <f t="shared" si="11"/>
        <v>31.34384999566668</v>
      </c>
      <c r="L168" s="311">
        <f t="shared" si="12"/>
        <v>2.4165230886470424E-2</v>
      </c>
      <c r="M168" s="26">
        <f t="shared" si="13"/>
        <v>9.4163119659487311</v>
      </c>
      <c r="N168" s="24">
        <f t="shared" si="14"/>
        <v>302.4522994207444</v>
      </c>
      <c r="O168" s="82"/>
    </row>
    <row r="169" spans="1:15" x14ac:dyDescent="0.25">
      <c r="A169" s="59" t="s">
        <v>117</v>
      </c>
      <c r="B169" s="21">
        <v>645</v>
      </c>
      <c r="C169" s="21" t="s">
        <v>100</v>
      </c>
      <c r="D169" s="21" t="s">
        <v>19</v>
      </c>
      <c r="E169" s="21" t="s">
        <v>60</v>
      </c>
      <c r="F169" s="24">
        <v>291363.82</v>
      </c>
      <c r="G169" s="24">
        <v>8053.1</v>
      </c>
      <c r="H169" s="27">
        <v>10072.25</v>
      </c>
      <c r="I169" s="27">
        <v>1046.9000000000001</v>
      </c>
      <c r="J169" s="23">
        <f t="shared" si="10"/>
        <v>283310.72000000003</v>
      </c>
      <c r="K169" s="24">
        <f t="shared" si="11"/>
        <v>28.127848296060961</v>
      </c>
      <c r="L169" s="311">
        <f t="shared" si="12"/>
        <v>2.7639327353684476E-2</v>
      </c>
      <c r="M169" s="26">
        <f t="shared" si="13"/>
        <v>9.6210239755468514</v>
      </c>
      <c r="N169" s="24">
        <f t="shared" si="14"/>
        <v>278.31103257235645</v>
      </c>
      <c r="O169" s="82"/>
    </row>
    <row r="170" spans="1:15" x14ac:dyDescent="0.25">
      <c r="A170" s="59" t="s">
        <v>117</v>
      </c>
      <c r="B170" s="21">
        <v>721</v>
      </c>
      <c r="C170" s="21" t="s">
        <v>100</v>
      </c>
      <c r="D170" s="21" t="s">
        <v>19</v>
      </c>
      <c r="E170" s="21" t="s">
        <v>60</v>
      </c>
      <c r="F170" s="24">
        <v>316961.69</v>
      </c>
      <c r="G170" s="24">
        <v>10633.9</v>
      </c>
      <c r="H170" s="27">
        <v>14850.57</v>
      </c>
      <c r="I170" s="27">
        <v>957</v>
      </c>
      <c r="J170" s="23">
        <f t="shared" si="10"/>
        <v>306327.78999999998</v>
      </c>
      <c r="K170" s="24">
        <f t="shared" si="11"/>
        <v>20.627342250162787</v>
      </c>
      <c r="L170" s="311">
        <f t="shared" si="12"/>
        <v>3.3549480380420736E-2</v>
      </c>
      <c r="M170" s="26">
        <f t="shared" si="13"/>
        <v>15.517836990595612</v>
      </c>
      <c r="N170" s="24">
        <f t="shared" si="14"/>
        <v>331.20343782654129</v>
      </c>
      <c r="O170" s="82"/>
    </row>
    <row r="171" spans="1:15" x14ac:dyDescent="0.25">
      <c r="A171" s="59" t="s">
        <v>117</v>
      </c>
      <c r="B171" s="21">
        <v>722</v>
      </c>
      <c r="C171" s="21" t="s">
        <v>100</v>
      </c>
      <c r="D171" s="21" t="s">
        <v>19</v>
      </c>
      <c r="E171" s="21" t="s">
        <v>60</v>
      </c>
      <c r="F171" s="24">
        <v>392543.27</v>
      </c>
      <c r="G171" s="24">
        <v>13837.19</v>
      </c>
      <c r="H171" s="27">
        <v>18497.21</v>
      </c>
      <c r="I171" s="27">
        <v>1219.1600000000001</v>
      </c>
      <c r="J171" s="23">
        <f t="shared" si="10"/>
        <v>378706.08</v>
      </c>
      <c r="K171" s="24">
        <f t="shared" si="11"/>
        <v>20.473686572191159</v>
      </c>
      <c r="L171" s="311">
        <f t="shared" si="12"/>
        <v>3.5250101218140865E-2</v>
      </c>
      <c r="M171" s="26">
        <f t="shared" si="13"/>
        <v>15.172093900718526</v>
      </c>
      <c r="N171" s="24">
        <f t="shared" si="14"/>
        <v>321.97846878178416</v>
      </c>
      <c r="O171" s="82"/>
    </row>
    <row r="172" spans="1:15" x14ac:dyDescent="0.25">
      <c r="A172" s="59" t="s">
        <v>117</v>
      </c>
      <c r="B172" s="21">
        <v>723</v>
      </c>
      <c r="C172" s="21" t="s">
        <v>100</v>
      </c>
      <c r="D172" s="21" t="s">
        <v>19</v>
      </c>
      <c r="E172" s="21" t="s">
        <v>60</v>
      </c>
      <c r="F172" s="24">
        <v>137094.82</v>
      </c>
      <c r="G172" s="24">
        <v>4129.93</v>
      </c>
      <c r="H172" s="27">
        <v>5604.56</v>
      </c>
      <c r="I172" s="27">
        <v>412.96</v>
      </c>
      <c r="J172" s="23">
        <f t="shared" si="10"/>
        <v>132964.89000000001</v>
      </c>
      <c r="K172" s="24">
        <f t="shared" si="11"/>
        <v>23.724411907446793</v>
      </c>
      <c r="L172" s="311">
        <f t="shared" si="12"/>
        <v>3.0124624694062109E-2</v>
      </c>
      <c r="M172" s="26">
        <f t="shared" si="13"/>
        <v>13.571677644323907</v>
      </c>
      <c r="N172" s="24">
        <f t="shared" si="14"/>
        <v>331.9808698179001</v>
      </c>
      <c r="O172" s="82"/>
    </row>
    <row r="173" spans="1:15" x14ac:dyDescent="0.25">
      <c r="A173" s="59" t="s">
        <v>117</v>
      </c>
      <c r="B173" s="21">
        <v>724</v>
      </c>
      <c r="C173" s="21" t="s">
        <v>100</v>
      </c>
      <c r="D173" s="21" t="s">
        <v>19</v>
      </c>
      <c r="E173" s="21" t="s">
        <v>60</v>
      </c>
      <c r="F173" s="24">
        <v>816993.51</v>
      </c>
      <c r="G173" s="24">
        <v>32769.42</v>
      </c>
      <c r="H173" s="27">
        <v>44643.86</v>
      </c>
      <c r="I173" s="27">
        <v>2219.66</v>
      </c>
      <c r="J173" s="23">
        <f t="shared" si="10"/>
        <v>784224.09</v>
      </c>
      <c r="K173" s="24">
        <f t="shared" si="11"/>
        <v>17.56622500832141</v>
      </c>
      <c r="L173" s="311">
        <f t="shared" si="12"/>
        <v>4.0109767824226657E-2</v>
      </c>
      <c r="M173" s="26">
        <f t="shared" si="13"/>
        <v>20.112927205067443</v>
      </c>
      <c r="N173" s="24">
        <f t="shared" si="14"/>
        <v>368.07146590018294</v>
      </c>
      <c r="O173" s="82"/>
    </row>
    <row r="174" spans="1:15" x14ac:dyDescent="0.25">
      <c r="A174" s="59" t="s">
        <v>117</v>
      </c>
      <c r="B174" s="21">
        <v>219</v>
      </c>
      <c r="C174" s="21" t="s">
        <v>100</v>
      </c>
      <c r="D174" s="21" t="s">
        <v>19</v>
      </c>
      <c r="E174" s="21" t="s">
        <v>59</v>
      </c>
      <c r="F174" s="24">
        <v>134503</v>
      </c>
      <c r="G174" s="24">
        <v>12141.13</v>
      </c>
      <c r="H174" s="27">
        <v>9079</v>
      </c>
      <c r="I174" s="27">
        <v>1308.81</v>
      </c>
      <c r="J174" s="23">
        <f t="shared" si="10"/>
        <v>122361.87</v>
      </c>
      <c r="K174" s="24">
        <f t="shared" si="11"/>
        <v>13.477461174138121</v>
      </c>
      <c r="L174" s="311">
        <f t="shared" si="12"/>
        <v>9.0266611153654558E-2</v>
      </c>
      <c r="M174" s="26">
        <f t="shared" si="13"/>
        <v>6.9368357515605785</v>
      </c>
      <c r="N174" s="24">
        <f t="shared" si="14"/>
        <v>102.76739939334205</v>
      </c>
      <c r="O174" s="82"/>
    </row>
    <row r="175" spans="1:15" x14ac:dyDescent="0.25">
      <c r="A175" s="59" t="s">
        <v>117</v>
      </c>
      <c r="B175" s="21">
        <v>225</v>
      </c>
      <c r="C175" s="21" t="s">
        <v>100</v>
      </c>
      <c r="D175" s="21" t="s">
        <v>19</v>
      </c>
      <c r="E175" s="21" t="s">
        <v>59</v>
      </c>
      <c r="F175" s="24">
        <v>40689</v>
      </c>
      <c r="G175" s="24">
        <v>1051.44</v>
      </c>
      <c r="H175" s="27">
        <v>1360</v>
      </c>
      <c r="I175" s="27">
        <v>348.95</v>
      </c>
      <c r="J175" s="23">
        <f t="shared" si="10"/>
        <v>39637.56</v>
      </c>
      <c r="K175" s="24">
        <f t="shared" si="11"/>
        <v>29.145264705882351</v>
      </c>
      <c r="L175" s="311">
        <f t="shared" si="12"/>
        <v>2.5840890658408909E-2</v>
      </c>
      <c r="M175" s="26">
        <f t="shared" si="13"/>
        <v>3.8974065052299758</v>
      </c>
      <c r="N175" s="24">
        <f t="shared" si="14"/>
        <v>116.60409800831064</v>
      </c>
      <c r="O175" s="82"/>
    </row>
    <row r="176" spans="1:15" x14ac:dyDescent="0.25">
      <c r="A176" s="59" t="s">
        <v>117</v>
      </c>
      <c r="B176" s="21">
        <v>227</v>
      </c>
      <c r="C176" s="21" t="s">
        <v>100</v>
      </c>
      <c r="D176" s="21" t="s">
        <v>19</v>
      </c>
      <c r="E176" s="21" t="s">
        <v>59</v>
      </c>
      <c r="F176" s="24">
        <v>40689</v>
      </c>
      <c r="G176" s="24">
        <v>1174.72</v>
      </c>
      <c r="H176" s="27">
        <v>1081</v>
      </c>
      <c r="I176" s="27">
        <v>348.95</v>
      </c>
      <c r="J176" s="23">
        <f t="shared" si="10"/>
        <v>39514.28</v>
      </c>
      <c r="K176" s="24">
        <f t="shared" si="11"/>
        <v>36.55345050878816</v>
      </c>
      <c r="L176" s="311">
        <f t="shared" si="12"/>
        <v>2.8870702155373688E-2</v>
      </c>
      <c r="M176" s="26">
        <f t="shared" si="13"/>
        <v>3.0978650236423557</v>
      </c>
      <c r="N176" s="24">
        <f t="shared" si="14"/>
        <v>116.60409800831064</v>
      </c>
      <c r="O176" s="82"/>
    </row>
    <row r="177" spans="1:15" x14ac:dyDescent="0.25">
      <c r="A177" s="59" t="s">
        <v>117</v>
      </c>
      <c r="B177" s="21">
        <v>323</v>
      </c>
      <c r="C177" s="21" t="s">
        <v>100</v>
      </c>
      <c r="D177" s="21" t="s">
        <v>19</v>
      </c>
      <c r="E177" s="21" t="s">
        <v>59</v>
      </c>
      <c r="F177" s="24">
        <v>160889</v>
      </c>
      <c r="G177" s="24">
        <v>6161.68</v>
      </c>
      <c r="H177" s="27">
        <v>5566</v>
      </c>
      <c r="I177" s="27">
        <v>1328.32</v>
      </c>
      <c r="J177" s="23">
        <f t="shared" si="10"/>
        <v>154727.32</v>
      </c>
      <c r="K177" s="24">
        <f t="shared" si="11"/>
        <v>27.798656126482214</v>
      </c>
      <c r="L177" s="311">
        <f t="shared" si="12"/>
        <v>3.8297708357936222E-2</v>
      </c>
      <c r="M177" s="26">
        <f t="shared" si="13"/>
        <v>4.1902553601541799</v>
      </c>
      <c r="N177" s="24">
        <f t="shared" si="14"/>
        <v>121.1221693567815</v>
      </c>
      <c r="O177" s="82"/>
    </row>
    <row r="178" spans="1:15" x14ac:dyDescent="0.25">
      <c r="A178" s="59" t="s">
        <v>117</v>
      </c>
      <c r="B178" s="21">
        <v>538</v>
      </c>
      <c r="C178" s="21" t="s">
        <v>100</v>
      </c>
      <c r="D178" s="21" t="s">
        <v>19</v>
      </c>
      <c r="E178" s="21" t="s">
        <v>59</v>
      </c>
      <c r="F178" s="24">
        <v>123433</v>
      </c>
      <c r="G178" s="24">
        <v>11773.41</v>
      </c>
      <c r="H178" s="27">
        <v>10224</v>
      </c>
      <c r="I178" s="27">
        <v>1222.48</v>
      </c>
      <c r="J178" s="23">
        <f t="shared" si="10"/>
        <v>111659.59</v>
      </c>
      <c r="K178" s="24">
        <f t="shared" si="11"/>
        <v>10.921321400625978</v>
      </c>
      <c r="L178" s="311">
        <f t="shared" si="12"/>
        <v>9.5383001304351345E-2</v>
      </c>
      <c r="M178" s="26">
        <f t="shared" si="13"/>
        <v>8.3633270073948047</v>
      </c>
      <c r="N178" s="24">
        <f t="shared" si="14"/>
        <v>100.96934101171389</v>
      </c>
      <c r="O178" s="82"/>
    </row>
    <row r="179" spans="1:15" x14ac:dyDescent="0.25">
      <c r="A179" s="59" t="s">
        <v>117</v>
      </c>
      <c r="B179" s="21">
        <v>539</v>
      </c>
      <c r="C179" s="21" t="s">
        <v>100</v>
      </c>
      <c r="D179" s="21" t="s">
        <v>19</v>
      </c>
      <c r="E179" s="21" t="s">
        <v>59</v>
      </c>
      <c r="F179" s="24">
        <v>74059</v>
      </c>
      <c r="G179" s="24">
        <v>10377.69</v>
      </c>
      <c r="H179" s="27">
        <v>7371</v>
      </c>
      <c r="I179" s="27">
        <v>560</v>
      </c>
      <c r="J179" s="23">
        <f t="shared" si="10"/>
        <v>63681.31</v>
      </c>
      <c r="K179" s="24">
        <f t="shared" si="11"/>
        <v>8.6394396961063631</v>
      </c>
      <c r="L179" s="311">
        <f t="shared" si="12"/>
        <v>0.14012733091184057</v>
      </c>
      <c r="M179" s="26">
        <f t="shared" si="13"/>
        <v>13.1625</v>
      </c>
      <c r="N179" s="24">
        <f t="shared" si="14"/>
        <v>132.24821428571428</v>
      </c>
      <c r="O179" s="82"/>
    </row>
    <row r="180" spans="1:15" x14ac:dyDescent="0.25">
      <c r="A180" s="59" t="s">
        <v>117</v>
      </c>
      <c r="B180" s="21">
        <v>540</v>
      </c>
      <c r="C180" s="21" t="s">
        <v>100</v>
      </c>
      <c r="D180" s="21" t="s">
        <v>19</v>
      </c>
      <c r="E180" s="21" t="s">
        <v>59</v>
      </c>
      <c r="F180" s="24">
        <v>189041</v>
      </c>
      <c r="G180" s="24">
        <v>21818</v>
      </c>
      <c r="H180" s="27">
        <v>17361</v>
      </c>
      <c r="I180" s="27">
        <v>1293.5999999999999</v>
      </c>
      <c r="J180" s="23">
        <f t="shared" si="10"/>
        <v>167223</v>
      </c>
      <c r="K180" s="24">
        <f t="shared" si="11"/>
        <v>9.6321064454812504</v>
      </c>
      <c r="L180" s="311">
        <f t="shared" si="12"/>
        <v>0.11541411651440693</v>
      </c>
      <c r="M180" s="26">
        <f t="shared" si="13"/>
        <v>13.420686456400743</v>
      </c>
      <c r="N180" s="24">
        <f t="shared" si="14"/>
        <v>146.13559059987634</v>
      </c>
      <c r="O180" s="82"/>
    </row>
    <row r="181" spans="1:15" x14ac:dyDescent="0.25">
      <c r="A181" s="59" t="s">
        <v>117</v>
      </c>
      <c r="B181" s="21">
        <v>546</v>
      </c>
      <c r="C181" s="21" t="s">
        <v>100</v>
      </c>
      <c r="D181" s="21" t="s">
        <v>19</v>
      </c>
      <c r="E181" s="21" t="s">
        <v>59</v>
      </c>
      <c r="F181" s="24">
        <v>74249</v>
      </c>
      <c r="G181" s="24">
        <v>9831.67</v>
      </c>
      <c r="H181" s="27">
        <v>5222</v>
      </c>
      <c r="I181" s="27">
        <v>686</v>
      </c>
      <c r="J181" s="23">
        <f t="shared" si="10"/>
        <v>64417.33</v>
      </c>
      <c r="K181" s="24">
        <f t="shared" si="11"/>
        <v>12.335758330141708</v>
      </c>
      <c r="L181" s="311">
        <f t="shared" si="12"/>
        <v>0.13241484733801129</v>
      </c>
      <c r="M181" s="26">
        <f t="shared" si="13"/>
        <v>7.6122448979591839</v>
      </c>
      <c r="N181" s="24">
        <f t="shared" si="14"/>
        <v>108.23469387755102</v>
      </c>
      <c r="O181" s="82"/>
    </row>
    <row r="182" spans="1:15" x14ac:dyDescent="0.25">
      <c r="A182" s="59" t="s">
        <v>117</v>
      </c>
      <c r="B182" s="21">
        <v>615</v>
      </c>
      <c r="C182" s="21" t="s">
        <v>100</v>
      </c>
      <c r="D182" s="21" t="s">
        <v>19</v>
      </c>
      <c r="E182" s="21" t="s">
        <v>59</v>
      </c>
      <c r="F182" s="24">
        <v>113396</v>
      </c>
      <c r="G182" s="24">
        <v>7141.12</v>
      </c>
      <c r="H182" s="27">
        <v>4902</v>
      </c>
      <c r="I182" s="27">
        <v>1131.2</v>
      </c>
      <c r="J182" s="23">
        <f t="shared" si="10"/>
        <v>106254.88</v>
      </c>
      <c r="K182" s="24">
        <f t="shared" si="11"/>
        <v>21.675822113423095</v>
      </c>
      <c r="L182" s="311">
        <f t="shared" si="12"/>
        <v>6.2975060848707187E-2</v>
      </c>
      <c r="M182" s="26">
        <f t="shared" si="13"/>
        <v>4.3334512022630829</v>
      </c>
      <c r="N182" s="24">
        <f t="shared" si="14"/>
        <v>100.24398868458275</v>
      </c>
      <c r="O182" s="82"/>
    </row>
    <row r="183" spans="1:15" x14ac:dyDescent="0.25">
      <c r="A183" s="59" t="s">
        <v>117</v>
      </c>
      <c r="B183" s="21">
        <v>716</v>
      </c>
      <c r="C183" s="21" t="s">
        <v>100</v>
      </c>
      <c r="D183" s="21" t="s">
        <v>19</v>
      </c>
      <c r="E183" s="21" t="s">
        <v>59</v>
      </c>
      <c r="F183" s="24">
        <v>65087</v>
      </c>
      <c r="G183" s="24">
        <v>4692.87</v>
      </c>
      <c r="H183" s="27">
        <v>5538</v>
      </c>
      <c r="I183" s="27">
        <v>602</v>
      </c>
      <c r="J183" s="23">
        <f t="shared" si="10"/>
        <v>60394.13</v>
      </c>
      <c r="K183" s="24">
        <f t="shared" si="11"/>
        <v>10.905404478150956</v>
      </c>
      <c r="L183" s="311">
        <f t="shared" si="12"/>
        <v>7.2101494922181084E-2</v>
      </c>
      <c r="M183" s="26">
        <f t="shared" si="13"/>
        <v>9.1993355481727583</v>
      </c>
      <c r="N183" s="24">
        <f t="shared" si="14"/>
        <v>108.11794019933555</v>
      </c>
      <c r="O183" s="82"/>
    </row>
    <row r="184" spans="1:15" x14ac:dyDescent="0.25">
      <c r="A184" s="59" t="s">
        <v>117</v>
      </c>
      <c r="B184" s="21">
        <v>804</v>
      </c>
      <c r="C184" s="21" t="s">
        <v>100</v>
      </c>
      <c r="D184" s="21" t="s">
        <v>19</v>
      </c>
      <c r="E184" s="21" t="s">
        <v>59</v>
      </c>
      <c r="F184" s="24">
        <v>104394</v>
      </c>
      <c r="G184" s="24">
        <v>4946.51</v>
      </c>
      <c r="H184" s="27">
        <v>3809</v>
      </c>
      <c r="I184" s="27">
        <v>987.04</v>
      </c>
      <c r="J184" s="23">
        <f t="shared" si="10"/>
        <v>99447.49</v>
      </c>
      <c r="K184" s="24">
        <f t="shared" si="11"/>
        <v>26.108556051457075</v>
      </c>
      <c r="L184" s="311">
        <f t="shared" si="12"/>
        <v>4.7383087150602528E-2</v>
      </c>
      <c r="M184" s="26">
        <f t="shared" si="13"/>
        <v>3.8590128059653104</v>
      </c>
      <c r="N184" s="24">
        <f t="shared" si="14"/>
        <v>105.76471065002431</v>
      </c>
      <c r="O184" s="82"/>
    </row>
    <row r="185" spans="1:15" x14ac:dyDescent="0.25">
      <c r="A185" s="59" t="s">
        <v>117</v>
      </c>
      <c r="B185" s="21">
        <v>805</v>
      </c>
      <c r="C185" s="21" t="s">
        <v>100</v>
      </c>
      <c r="D185" s="21" t="s">
        <v>19</v>
      </c>
      <c r="E185" s="21" t="s">
        <v>59</v>
      </c>
      <c r="F185" s="24">
        <v>73232</v>
      </c>
      <c r="G185" s="24">
        <v>5495.61</v>
      </c>
      <c r="H185" s="27">
        <v>4421</v>
      </c>
      <c r="I185" s="27">
        <v>772.15</v>
      </c>
      <c r="J185" s="23">
        <f t="shared" si="10"/>
        <v>67736.39</v>
      </c>
      <c r="K185" s="24">
        <f t="shared" si="11"/>
        <v>15.321508708437005</v>
      </c>
      <c r="L185" s="311">
        <f t="shared" si="12"/>
        <v>7.5043833296919368E-2</v>
      </c>
      <c r="M185" s="26">
        <f t="shared" si="13"/>
        <v>5.7255714563232534</v>
      </c>
      <c r="N185" s="24">
        <f t="shared" si="14"/>
        <v>94.841675840186497</v>
      </c>
      <c r="O185" s="82"/>
    </row>
    <row r="186" spans="1:15" x14ac:dyDescent="0.25">
      <c r="A186" s="59" t="s">
        <v>117</v>
      </c>
      <c r="B186" s="21">
        <v>323</v>
      </c>
      <c r="C186" s="21" t="s">
        <v>100</v>
      </c>
      <c r="D186" s="21" t="s">
        <v>19</v>
      </c>
      <c r="E186" s="21" t="s">
        <v>60</v>
      </c>
      <c r="F186" s="24">
        <v>155989</v>
      </c>
      <c r="G186" s="24">
        <v>4967.96</v>
      </c>
      <c r="H186" s="27">
        <v>4100</v>
      </c>
      <c r="I186" s="27">
        <v>1248.74</v>
      </c>
      <c r="J186" s="23">
        <f t="shared" si="10"/>
        <v>151021.04</v>
      </c>
      <c r="K186" s="24">
        <f t="shared" si="11"/>
        <v>36.834400000000002</v>
      </c>
      <c r="L186" s="311">
        <f t="shared" si="12"/>
        <v>3.1848143138298216E-2</v>
      </c>
      <c r="M186" s="26">
        <f t="shared" si="13"/>
        <v>3.2833095760526612</v>
      </c>
      <c r="N186" s="24">
        <f t="shared" si="14"/>
        <v>124.91711645338501</v>
      </c>
      <c r="O186" s="82"/>
    </row>
    <row r="187" spans="1:15" x14ac:dyDescent="0.25">
      <c r="A187" s="59" t="s">
        <v>117</v>
      </c>
      <c r="B187" s="21">
        <v>538</v>
      </c>
      <c r="C187" s="21" t="s">
        <v>100</v>
      </c>
      <c r="D187" s="21" t="s">
        <v>19</v>
      </c>
      <c r="E187" s="21" t="s">
        <v>60</v>
      </c>
      <c r="F187" s="24">
        <v>101995</v>
      </c>
      <c r="G187" s="24">
        <v>6853.15</v>
      </c>
      <c r="H187" s="27">
        <v>6271</v>
      </c>
      <c r="I187" s="27">
        <v>1016.16</v>
      </c>
      <c r="J187" s="23">
        <f t="shared" si="10"/>
        <v>95141.85</v>
      </c>
      <c r="K187" s="24">
        <f t="shared" si="11"/>
        <v>15.171719024079096</v>
      </c>
      <c r="L187" s="311">
        <f t="shared" si="12"/>
        <v>6.7191038776410611E-2</v>
      </c>
      <c r="M187" s="26">
        <f t="shared" si="13"/>
        <v>6.1712722405920326</v>
      </c>
      <c r="N187" s="24">
        <f t="shared" si="14"/>
        <v>100.37297276019525</v>
      </c>
      <c r="O187" s="82"/>
    </row>
    <row r="188" spans="1:15" x14ac:dyDescent="0.25">
      <c r="A188" s="59" t="s">
        <v>117</v>
      </c>
      <c r="B188" s="21">
        <v>539</v>
      </c>
      <c r="C188" s="21" t="s">
        <v>100</v>
      </c>
      <c r="D188" s="21" t="s">
        <v>19</v>
      </c>
      <c r="E188" s="21" t="s">
        <v>60</v>
      </c>
      <c r="F188" s="24">
        <v>61934</v>
      </c>
      <c r="G188" s="24">
        <v>6314.66</v>
      </c>
      <c r="H188" s="27">
        <v>4693</v>
      </c>
      <c r="I188" s="27">
        <v>469.8</v>
      </c>
      <c r="J188" s="23">
        <f t="shared" si="10"/>
        <v>55619.34</v>
      </c>
      <c r="K188" s="24">
        <f t="shared" si="11"/>
        <v>11.851553377370552</v>
      </c>
      <c r="L188" s="311">
        <f t="shared" si="12"/>
        <v>0.10195789065779701</v>
      </c>
      <c r="M188" s="26">
        <f t="shared" si="13"/>
        <v>9.9893571732652191</v>
      </c>
      <c r="N188" s="24">
        <f t="shared" si="14"/>
        <v>131.83056619838229</v>
      </c>
      <c r="O188" s="82"/>
    </row>
    <row r="189" spans="1:15" x14ac:dyDescent="0.25">
      <c r="A189" s="59" t="s">
        <v>117</v>
      </c>
      <c r="B189" s="21">
        <v>540</v>
      </c>
      <c r="C189" s="21" t="s">
        <v>100</v>
      </c>
      <c r="D189" s="21" t="s">
        <v>19</v>
      </c>
      <c r="E189" s="21" t="s">
        <v>60</v>
      </c>
      <c r="F189" s="24">
        <v>100061</v>
      </c>
      <c r="G189" s="24">
        <v>10805.39</v>
      </c>
      <c r="H189" s="27">
        <v>7975</v>
      </c>
      <c r="I189" s="27">
        <v>672.8</v>
      </c>
      <c r="J189" s="23">
        <f t="shared" si="10"/>
        <v>89255.61</v>
      </c>
      <c r="K189" s="24">
        <f t="shared" si="11"/>
        <v>11.191926018808777</v>
      </c>
      <c r="L189" s="311">
        <f t="shared" si="12"/>
        <v>0.10798802730334496</v>
      </c>
      <c r="M189" s="26">
        <f t="shared" si="13"/>
        <v>11.853448275862069</v>
      </c>
      <c r="N189" s="24">
        <f t="shared" si="14"/>
        <v>148.72324613555293</v>
      </c>
      <c r="O189" s="82"/>
    </row>
    <row r="190" spans="1:15" x14ac:dyDescent="0.25">
      <c r="A190" s="59" t="s">
        <v>117</v>
      </c>
      <c r="B190" s="21">
        <v>546</v>
      </c>
      <c r="C190" s="21" t="s">
        <v>100</v>
      </c>
      <c r="D190" s="21" t="s">
        <v>19</v>
      </c>
      <c r="E190" s="21" t="s">
        <v>60</v>
      </c>
      <c r="F190" s="24">
        <v>62131</v>
      </c>
      <c r="G190" s="24">
        <v>5094.72</v>
      </c>
      <c r="H190" s="27">
        <v>3103</v>
      </c>
      <c r="I190" s="27">
        <v>575.36</v>
      </c>
      <c r="J190" s="23">
        <f t="shared" si="10"/>
        <v>57036.28</v>
      </c>
      <c r="K190" s="24">
        <f t="shared" si="11"/>
        <v>18.38101192394457</v>
      </c>
      <c r="L190" s="311">
        <f t="shared" si="12"/>
        <v>8.1999645909449387E-2</v>
      </c>
      <c r="M190" s="26">
        <f t="shared" si="13"/>
        <v>5.3931451612903221</v>
      </c>
      <c r="N190" s="24">
        <f t="shared" si="14"/>
        <v>107.98630422691879</v>
      </c>
      <c r="O190" s="82"/>
    </row>
    <row r="191" spans="1:15" x14ac:dyDescent="0.25">
      <c r="A191" s="59" t="s">
        <v>117</v>
      </c>
      <c r="B191" s="21">
        <v>219</v>
      </c>
      <c r="C191" s="21" t="s">
        <v>100</v>
      </c>
      <c r="D191" s="21" t="s">
        <v>19</v>
      </c>
      <c r="E191" s="21" t="s">
        <v>27</v>
      </c>
      <c r="F191" s="24">
        <v>1298046</v>
      </c>
      <c r="G191" s="24">
        <v>102459.81</v>
      </c>
      <c r="H191" s="27">
        <v>85923</v>
      </c>
      <c r="I191" s="27">
        <v>10266.61</v>
      </c>
      <c r="J191" s="23">
        <f t="shared" si="10"/>
        <v>1195586.19</v>
      </c>
      <c r="K191" s="24">
        <f t="shared" si="11"/>
        <v>13.914623441918927</v>
      </c>
      <c r="L191" s="311">
        <f t="shared" si="12"/>
        <v>7.8933882158259416E-2</v>
      </c>
      <c r="M191" s="26">
        <f t="shared" si="13"/>
        <v>8.369169570091783</v>
      </c>
      <c r="N191" s="24">
        <f t="shared" si="14"/>
        <v>126.43374979667095</v>
      </c>
      <c r="O191" s="82"/>
    </row>
    <row r="192" spans="1:15" x14ac:dyDescent="0.25">
      <c r="A192" s="59" t="s">
        <v>117</v>
      </c>
      <c r="B192" s="21">
        <v>223</v>
      </c>
      <c r="C192" s="21" t="s">
        <v>100</v>
      </c>
      <c r="D192" s="21" t="s">
        <v>19</v>
      </c>
      <c r="E192" s="21" t="s">
        <v>27</v>
      </c>
      <c r="F192" s="24">
        <v>34144</v>
      </c>
      <c r="G192" s="24">
        <v>606.04</v>
      </c>
      <c r="H192" s="27">
        <v>650</v>
      </c>
      <c r="I192" s="27">
        <v>393.16</v>
      </c>
      <c r="J192" s="23">
        <f t="shared" si="10"/>
        <v>33537.96</v>
      </c>
      <c r="K192" s="24">
        <f t="shared" si="11"/>
        <v>51.596861538461539</v>
      </c>
      <c r="L192" s="311">
        <f t="shared" si="12"/>
        <v>1.7749531396438614E-2</v>
      </c>
      <c r="M192" s="26">
        <f t="shared" si="13"/>
        <v>1.6532709329535049</v>
      </c>
      <c r="N192" s="24">
        <f t="shared" si="14"/>
        <v>86.845050361176106</v>
      </c>
      <c r="O192" s="82"/>
    </row>
    <row r="193" spans="1:15" x14ac:dyDescent="0.25">
      <c r="A193" s="59" t="s">
        <v>117</v>
      </c>
      <c r="B193" s="21">
        <v>225</v>
      </c>
      <c r="C193" s="21" t="s">
        <v>100</v>
      </c>
      <c r="D193" s="21" t="s">
        <v>19</v>
      </c>
      <c r="E193" s="21" t="s">
        <v>27</v>
      </c>
      <c r="F193" s="24">
        <v>218119</v>
      </c>
      <c r="G193" s="24">
        <v>17994.39</v>
      </c>
      <c r="H193" s="27">
        <v>15650</v>
      </c>
      <c r="I193" s="27">
        <v>1885.23</v>
      </c>
      <c r="J193" s="23">
        <f t="shared" si="10"/>
        <v>200124.61</v>
      </c>
      <c r="K193" s="24">
        <f t="shared" si="11"/>
        <v>12.78751501597444</v>
      </c>
      <c r="L193" s="311">
        <f t="shared" si="12"/>
        <v>8.2498040060700814E-2</v>
      </c>
      <c r="M193" s="26">
        <f t="shared" si="13"/>
        <v>8.3013743681142351</v>
      </c>
      <c r="N193" s="24">
        <f t="shared" si="14"/>
        <v>115.698880242729</v>
      </c>
      <c r="O193" s="82"/>
    </row>
    <row r="194" spans="1:15" x14ac:dyDescent="0.25">
      <c r="A194" s="59" t="s">
        <v>117</v>
      </c>
      <c r="B194" s="21">
        <v>227</v>
      </c>
      <c r="C194" s="21" t="s">
        <v>100</v>
      </c>
      <c r="D194" s="21" t="s">
        <v>19</v>
      </c>
      <c r="E194" s="21" t="s">
        <v>27</v>
      </c>
      <c r="F194" s="24">
        <v>206813</v>
      </c>
      <c r="G194" s="24">
        <v>16117.81</v>
      </c>
      <c r="H194" s="27">
        <v>10884</v>
      </c>
      <c r="I194" s="27">
        <v>1771.83</v>
      </c>
      <c r="J194" s="23">
        <f t="shared" si="10"/>
        <v>190695.19</v>
      </c>
      <c r="K194" s="24">
        <f t="shared" si="11"/>
        <v>17.520690003675121</v>
      </c>
      <c r="L194" s="311">
        <f t="shared" si="12"/>
        <v>7.7934220769487403E-2</v>
      </c>
      <c r="M194" s="26">
        <f t="shared" si="13"/>
        <v>6.142801510302907</v>
      </c>
      <c r="N194" s="24">
        <f t="shared" si="14"/>
        <v>116.72282329568864</v>
      </c>
      <c r="O194" s="82"/>
    </row>
    <row r="195" spans="1:15" x14ac:dyDescent="0.25">
      <c r="A195" s="59" t="s">
        <v>117</v>
      </c>
      <c r="B195" s="21">
        <v>323</v>
      </c>
      <c r="C195" s="21" t="s">
        <v>100</v>
      </c>
      <c r="D195" s="21" t="s">
        <v>19</v>
      </c>
      <c r="E195" s="21" t="s">
        <v>27</v>
      </c>
      <c r="F195" s="24">
        <v>770597</v>
      </c>
      <c r="G195" s="24">
        <v>54337.53</v>
      </c>
      <c r="H195" s="27">
        <v>46438</v>
      </c>
      <c r="I195" s="27">
        <v>6337.8</v>
      </c>
      <c r="J195" s="23">
        <f t="shared" si="10"/>
        <v>716259.47</v>
      </c>
      <c r="K195" s="24">
        <f t="shared" si="11"/>
        <v>15.423994788750592</v>
      </c>
      <c r="L195" s="311">
        <f t="shared" si="12"/>
        <v>7.0513549884050938E-2</v>
      </c>
      <c r="M195" s="26">
        <f t="shared" si="13"/>
        <v>7.327148221780428</v>
      </c>
      <c r="N195" s="24">
        <f t="shared" si="14"/>
        <v>121.58745937075956</v>
      </c>
      <c r="O195" s="82"/>
    </row>
    <row r="196" spans="1:15" x14ac:dyDescent="0.25">
      <c r="A196" s="59" t="s">
        <v>117</v>
      </c>
      <c r="B196" s="21">
        <v>534</v>
      </c>
      <c r="C196" s="21" t="s">
        <v>100</v>
      </c>
      <c r="D196" s="21" t="s">
        <v>19</v>
      </c>
      <c r="E196" s="21" t="s">
        <v>27</v>
      </c>
      <c r="F196" s="24">
        <v>179253</v>
      </c>
      <c r="G196" s="24">
        <v>15903.93</v>
      </c>
      <c r="H196" s="27">
        <v>10531</v>
      </c>
      <c r="I196" s="27">
        <v>1675.8</v>
      </c>
      <c r="J196" s="23">
        <f t="shared" ref="J196:J259" si="15">F196-G196</f>
        <v>163349.07</v>
      </c>
      <c r="K196" s="24">
        <f t="shared" ref="K196:K259" si="16">J196/H196</f>
        <v>15.511259139682842</v>
      </c>
      <c r="L196" s="311">
        <f t="shared" ref="L196:L259" si="17">G196/F196</f>
        <v>8.8723368646549852E-2</v>
      </c>
      <c r="M196" s="26">
        <f t="shared" ref="M196:M259" si="18">H196/I196</f>
        <v>6.2841627879221864</v>
      </c>
      <c r="N196" s="24">
        <f t="shared" ref="N196:N259" si="19">F196/I196</f>
        <v>106.96562835660581</v>
      </c>
      <c r="O196" s="82"/>
    </row>
    <row r="197" spans="1:15" x14ac:dyDescent="0.25">
      <c r="A197" s="59" t="s">
        <v>117</v>
      </c>
      <c r="B197" s="21">
        <v>537</v>
      </c>
      <c r="C197" s="21" t="s">
        <v>100</v>
      </c>
      <c r="D197" s="21" t="s">
        <v>19</v>
      </c>
      <c r="E197" s="21" t="s">
        <v>27</v>
      </c>
      <c r="F197" s="24">
        <v>94119</v>
      </c>
      <c r="G197" s="24">
        <v>11730.19</v>
      </c>
      <c r="H197" s="27">
        <v>6238</v>
      </c>
      <c r="I197" s="27">
        <v>773.64</v>
      </c>
      <c r="J197" s="23">
        <f t="shared" si="15"/>
        <v>82388.81</v>
      </c>
      <c r="K197" s="24">
        <f t="shared" si="16"/>
        <v>13.207568130811158</v>
      </c>
      <c r="L197" s="311">
        <f t="shared" si="17"/>
        <v>0.12463147717251565</v>
      </c>
      <c r="M197" s="26">
        <f t="shared" si="18"/>
        <v>8.0631818416834697</v>
      </c>
      <c r="N197" s="24">
        <f t="shared" si="19"/>
        <v>121.65736001240887</v>
      </c>
      <c r="O197" s="82"/>
    </row>
    <row r="198" spans="1:15" x14ac:dyDescent="0.25">
      <c r="A198" s="59" t="s">
        <v>117</v>
      </c>
      <c r="B198" s="21">
        <v>538</v>
      </c>
      <c r="C198" s="21" t="s">
        <v>100</v>
      </c>
      <c r="D198" s="21" t="s">
        <v>19</v>
      </c>
      <c r="E198" s="21" t="s">
        <v>27</v>
      </c>
      <c r="F198" s="24">
        <v>718724</v>
      </c>
      <c r="G198" s="24">
        <v>89725.57</v>
      </c>
      <c r="H198" s="27">
        <v>71586</v>
      </c>
      <c r="I198" s="27">
        <v>6942.6</v>
      </c>
      <c r="J198" s="23">
        <f t="shared" si="15"/>
        <v>628998.42999999993</v>
      </c>
      <c r="K198" s="24">
        <f t="shared" si="16"/>
        <v>8.7866123264325413</v>
      </c>
      <c r="L198" s="311">
        <f t="shared" si="17"/>
        <v>0.12484009160679205</v>
      </c>
      <c r="M198" s="26">
        <f t="shared" si="18"/>
        <v>10.311122634171635</v>
      </c>
      <c r="N198" s="24">
        <f t="shared" si="19"/>
        <v>103.5237519085069</v>
      </c>
      <c r="O198" s="82"/>
    </row>
    <row r="199" spans="1:15" x14ac:dyDescent="0.25">
      <c r="A199" s="59" t="s">
        <v>117</v>
      </c>
      <c r="B199" s="21">
        <v>539</v>
      </c>
      <c r="C199" s="21" t="s">
        <v>100</v>
      </c>
      <c r="D199" s="21" t="s">
        <v>19</v>
      </c>
      <c r="E199" s="21" t="s">
        <v>27</v>
      </c>
      <c r="F199" s="24">
        <v>674167</v>
      </c>
      <c r="G199" s="24">
        <v>172333.77</v>
      </c>
      <c r="H199" s="27">
        <v>113006</v>
      </c>
      <c r="I199" s="27">
        <v>6022.8</v>
      </c>
      <c r="J199" s="23">
        <f t="shared" si="15"/>
        <v>501833.23</v>
      </c>
      <c r="K199" s="24">
        <f t="shared" si="16"/>
        <v>4.4407662425003984</v>
      </c>
      <c r="L199" s="311">
        <f t="shared" si="17"/>
        <v>0.25562474876403024</v>
      </c>
      <c r="M199" s="26">
        <f t="shared" si="18"/>
        <v>18.763033804874809</v>
      </c>
      <c r="N199" s="24">
        <f t="shared" si="19"/>
        <v>111.93581058643819</v>
      </c>
      <c r="O199" s="82"/>
    </row>
    <row r="200" spans="1:15" x14ac:dyDescent="0.25">
      <c r="A200" s="59" t="s">
        <v>117</v>
      </c>
      <c r="B200" s="21">
        <v>540</v>
      </c>
      <c r="C200" s="21" t="s">
        <v>100</v>
      </c>
      <c r="D200" s="21" t="s">
        <v>19</v>
      </c>
      <c r="E200" s="21" t="s">
        <v>27</v>
      </c>
      <c r="F200" s="24">
        <v>1400090</v>
      </c>
      <c r="G200" s="24">
        <v>179630.83</v>
      </c>
      <c r="H200" s="27">
        <v>136816</v>
      </c>
      <c r="I200" s="27">
        <v>9727.2000000000007</v>
      </c>
      <c r="J200" s="23">
        <f t="shared" si="15"/>
        <v>1220459.17</v>
      </c>
      <c r="K200" s="24">
        <f t="shared" si="16"/>
        <v>8.9204418342883862</v>
      </c>
      <c r="L200" s="311">
        <f t="shared" si="17"/>
        <v>0.12829948789006421</v>
      </c>
      <c r="M200" s="26">
        <f t="shared" si="18"/>
        <v>14.065301422814375</v>
      </c>
      <c r="N200" s="24">
        <f t="shared" si="19"/>
        <v>143.93556213504399</v>
      </c>
      <c r="O200" s="82"/>
    </row>
    <row r="201" spans="1:15" x14ac:dyDescent="0.25">
      <c r="A201" s="59" t="s">
        <v>117</v>
      </c>
      <c r="B201" s="21">
        <v>542</v>
      </c>
      <c r="C201" s="21" t="s">
        <v>100</v>
      </c>
      <c r="D201" s="21" t="s">
        <v>19</v>
      </c>
      <c r="E201" s="21" t="s">
        <v>27</v>
      </c>
      <c r="F201" s="24">
        <v>614263</v>
      </c>
      <c r="G201" s="24">
        <v>40356.93</v>
      </c>
      <c r="H201" s="27">
        <v>28556</v>
      </c>
      <c r="I201" s="27">
        <v>3528</v>
      </c>
      <c r="J201" s="23">
        <f t="shared" si="15"/>
        <v>573906.06999999995</v>
      </c>
      <c r="K201" s="24">
        <f t="shared" si="16"/>
        <v>20.097565135172992</v>
      </c>
      <c r="L201" s="311">
        <f t="shared" si="17"/>
        <v>6.5699757270094403E-2</v>
      </c>
      <c r="M201" s="26">
        <f t="shared" si="18"/>
        <v>8.0941043083900226</v>
      </c>
      <c r="N201" s="24">
        <f t="shared" si="19"/>
        <v>174.1108276643991</v>
      </c>
      <c r="O201" s="82"/>
    </row>
    <row r="202" spans="1:15" x14ac:dyDescent="0.25">
      <c r="A202" s="59" t="s">
        <v>117</v>
      </c>
      <c r="B202" s="21">
        <v>546</v>
      </c>
      <c r="C202" s="21" t="s">
        <v>100</v>
      </c>
      <c r="D202" s="21" t="s">
        <v>19</v>
      </c>
      <c r="E202" s="21" t="s">
        <v>27</v>
      </c>
      <c r="F202" s="24">
        <v>407277</v>
      </c>
      <c r="G202" s="24">
        <v>51166.05</v>
      </c>
      <c r="H202" s="27">
        <v>34496</v>
      </c>
      <c r="I202" s="27">
        <v>3167.64</v>
      </c>
      <c r="J202" s="23">
        <f t="shared" si="15"/>
        <v>356110.95</v>
      </c>
      <c r="K202" s="24">
        <f t="shared" si="16"/>
        <v>10.323253420686457</v>
      </c>
      <c r="L202" s="311">
        <f t="shared" si="17"/>
        <v>0.12562960835009099</v>
      </c>
      <c r="M202" s="26">
        <f t="shared" si="18"/>
        <v>10.890126403252895</v>
      </c>
      <c r="N202" s="24">
        <f t="shared" si="19"/>
        <v>128.57426980338676</v>
      </c>
      <c r="O202" s="82"/>
    </row>
    <row r="203" spans="1:15" x14ac:dyDescent="0.25">
      <c r="A203" s="59" t="s">
        <v>117</v>
      </c>
      <c r="B203" s="21">
        <v>615</v>
      </c>
      <c r="C203" s="21" t="s">
        <v>100</v>
      </c>
      <c r="D203" s="21" t="s">
        <v>19</v>
      </c>
      <c r="E203" s="21" t="s">
        <v>27</v>
      </c>
      <c r="F203" s="24">
        <v>540922</v>
      </c>
      <c r="G203" s="24">
        <v>35992.379999999997</v>
      </c>
      <c r="H203" s="27">
        <v>28322</v>
      </c>
      <c r="I203" s="27">
        <v>5410.08</v>
      </c>
      <c r="J203" s="23">
        <f t="shared" si="15"/>
        <v>504929.62</v>
      </c>
      <c r="K203" s="24">
        <f t="shared" si="16"/>
        <v>17.828176682437682</v>
      </c>
      <c r="L203" s="311">
        <f t="shared" si="17"/>
        <v>6.6538946465479309E-2</v>
      </c>
      <c r="M203" s="26">
        <f t="shared" si="18"/>
        <v>5.2350427350427351</v>
      </c>
      <c r="N203" s="24">
        <f t="shared" si="19"/>
        <v>99.98410374707953</v>
      </c>
      <c r="O203" s="82"/>
    </row>
    <row r="204" spans="1:15" x14ac:dyDescent="0.25">
      <c r="A204" s="59" t="s">
        <v>117</v>
      </c>
      <c r="B204" s="21">
        <v>705</v>
      </c>
      <c r="C204" s="21" t="s">
        <v>100</v>
      </c>
      <c r="D204" s="21" t="s">
        <v>19</v>
      </c>
      <c r="E204" s="21" t="s">
        <v>27</v>
      </c>
      <c r="F204" s="24">
        <v>852095</v>
      </c>
      <c r="G204" s="24">
        <v>38988.5</v>
      </c>
      <c r="H204" s="27">
        <v>39686</v>
      </c>
      <c r="I204" s="27">
        <v>5745.6</v>
      </c>
      <c r="J204" s="23">
        <f t="shared" si="15"/>
        <v>813106.5</v>
      </c>
      <c r="K204" s="24">
        <f t="shared" si="16"/>
        <v>20.488497203043895</v>
      </c>
      <c r="L204" s="311">
        <f t="shared" si="17"/>
        <v>4.5756048327944651E-2</v>
      </c>
      <c r="M204" s="26">
        <f t="shared" si="18"/>
        <v>6.9071985519353936</v>
      </c>
      <c r="N204" s="24">
        <f t="shared" si="19"/>
        <v>148.30391952102477</v>
      </c>
      <c r="O204" s="82"/>
    </row>
    <row r="205" spans="1:15" x14ac:dyDescent="0.25">
      <c r="A205" s="59" t="s">
        <v>117</v>
      </c>
      <c r="B205" s="21">
        <v>716</v>
      </c>
      <c r="C205" s="21" t="s">
        <v>100</v>
      </c>
      <c r="D205" s="21" t="s">
        <v>19</v>
      </c>
      <c r="E205" s="21" t="s">
        <v>27</v>
      </c>
      <c r="F205" s="24">
        <v>330091</v>
      </c>
      <c r="G205" s="24">
        <v>33191.9</v>
      </c>
      <c r="H205" s="27">
        <v>29962</v>
      </c>
      <c r="I205" s="27">
        <v>2981.43</v>
      </c>
      <c r="J205" s="23">
        <f t="shared" si="15"/>
        <v>296899.09999999998</v>
      </c>
      <c r="K205" s="24">
        <f t="shared" si="16"/>
        <v>9.9091883051865697</v>
      </c>
      <c r="L205" s="311">
        <f t="shared" si="17"/>
        <v>0.10055378668306619</v>
      </c>
      <c r="M205" s="26">
        <f t="shared" si="18"/>
        <v>10.049539985845719</v>
      </c>
      <c r="N205" s="24">
        <f t="shared" si="19"/>
        <v>110.71566328909283</v>
      </c>
      <c r="O205" s="82"/>
    </row>
    <row r="206" spans="1:15" x14ac:dyDescent="0.25">
      <c r="A206" s="59" t="s">
        <v>117</v>
      </c>
      <c r="B206" s="21">
        <v>717</v>
      </c>
      <c r="C206" s="21" t="s">
        <v>100</v>
      </c>
      <c r="D206" s="21" t="s">
        <v>19</v>
      </c>
      <c r="E206" s="21" t="s">
        <v>27</v>
      </c>
      <c r="F206" s="24">
        <v>355630</v>
      </c>
      <c r="G206" s="24">
        <v>41043.67</v>
      </c>
      <c r="H206" s="27">
        <v>40519</v>
      </c>
      <c r="I206" s="27">
        <v>3452.4</v>
      </c>
      <c r="J206" s="23">
        <f t="shared" si="15"/>
        <v>314586.33</v>
      </c>
      <c r="K206" s="24">
        <f t="shared" si="16"/>
        <v>7.7639213702213778</v>
      </c>
      <c r="L206" s="311">
        <f t="shared" si="17"/>
        <v>0.11541115766386412</v>
      </c>
      <c r="M206" s="26">
        <f t="shared" si="18"/>
        <v>11.736473178079017</v>
      </c>
      <c r="N206" s="24">
        <f t="shared" si="19"/>
        <v>103.00950063723786</v>
      </c>
      <c r="O206" s="82"/>
    </row>
    <row r="207" spans="1:15" x14ac:dyDescent="0.25">
      <c r="A207" s="59" t="s">
        <v>117</v>
      </c>
      <c r="B207" s="21">
        <v>801</v>
      </c>
      <c r="C207" s="21" t="s">
        <v>100</v>
      </c>
      <c r="D207" s="21" t="s">
        <v>19</v>
      </c>
      <c r="E207" s="21" t="s">
        <v>27</v>
      </c>
      <c r="F207" s="24">
        <v>560094</v>
      </c>
      <c r="G207" s="24">
        <v>73826.009999999995</v>
      </c>
      <c r="H207" s="27">
        <v>60982</v>
      </c>
      <c r="I207" s="27">
        <v>5223.96</v>
      </c>
      <c r="J207" s="23">
        <f t="shared" si="15"/>
        <v>486267.99</v>
      </c>
      <c r="K207" s="24">
        <f t="shared" si="16"/>
        <v>7.9739593650585414</v>
      </c>
      <c r="L207" s="311">
        <f t="shared" si="17"/>
        <v>0.13181003545833378</v>
      </c>
      <c r="M207" s="26">
        <f t="shared" si="18"/>
        <v>11.673519705357622</v>
      </c>
      <c r="N207" s="24">
        <f t="shared" si="19"/>
        <v>107.21636459697241</v>
      </c>
      <c r="O207" s="82"/>
    </row>
    <row r="208" spans="1:15" x14ac:dyDescent="0.25">
      <c r="A208" s="59" t="s">
        <v>117</v>
      </c>
      <c r="B208" s="21">
        <v>804</v>
      </c>
      <c r="C208" s="21" t="s">
        <v>100</v>
      </c>
      <c r="D208" s="21" t="s">
        <v>19</v>
      </c>
      <c r="E208" s="21" t="s">
        <v>27</v>
      </c>
      <c r="F208" s="24">
        <v>695470</v>
      </c>
      <c r="G208" s="24">
        <v>42316.14</v>
      </c>
      <c r="H208" s="27">
        <v>32224</v>
      </c>
      <c r="I208" s="27">
        <v>6616.4</v>
      </c>
      <c r="J208" s="23">
        <f t="shared" si="15"/>
        <v>653153.86</v>
      </c>
      <c r="K208" s="24">
        <f t="shared" si="16"/>
        <v>20.269173907646476</v>
      </c>
      <c r="L208" s="311">
        <f t="shared" si="17"/>
        <v>6.0845385135232286E-2</v>
      </c>
      <c r="M208" s="26">
        <f t="shared" si="18"/>
        <v>4.8703222296112694</v>
      </c>
      <c r="N208" s="24">
        <f t="shared" si="19"/>
        <v>105.11305241521069</v>
      </c>
      <c r="O208" s="82"/>
    </row>
    <row r="209" spans="1:15" x14ac:dyDescent="0.25">
      <c r="A209" s="59" t="s">
        <v>117</v>
      </c>
      <c r="B209" s="21">
        <v>805</v>
      </c>
      <c r="C209" s="21" t="s">
        <v>100</v>
      </c>
      <c r="D209" s="21" t="s">
        <v>19</v>
      </c>
      <c r="E209" s="21" t="s">
        <v>27</v>
      </c>
      <c r="F209" s="24">
        <v>542658</v>
      </c>
      <c r="G209" s="24">
        <v>51062.68</v>
      </c>
      <c r="H209" s="27">
        <v>41452</v>
      </c>
      <c r="I209" s="27">
        <v>5549.04</v>
      </c>
      <c r="J209" s="23">
        <f t="shared" si="15"/>
        <v>491595.32</v>
      </c>
      <c r="K209" s="24">
        <f t="shared" si="16"/>
        <v>11.859387243076329</v>
      </c>
      <c r="L209" s="311">
        <f t="shared" si="17"/>
        <v>9.4097350449085793E-2</v>
      </c>
      <c r="M209" s="26">
        <f t="shared" si="18"/>
        <v>7.4701209578593772</v>
      </c>
      <c r="N209" s="24">
        <f t="shared" si="19"/>
        <v>97.793131784957396</v>
      </c>
      <c r="O209" s="82"/>
    </row>
    <row r="210" spans="1:15" x14ac:dyDescent="0.25">
      <c r="A210" s="59" t="s">
        <v>8</v>
      </c>
      <c r="B210" s="21">
        <v>410</v>
      </c>
      <c r="C210" s="21" t="s">
        <v>103</v>
      </c>
      <c r="D210" s="21" t="s">
        <v>19</v>
      </c>
      <c r="E210" s="21" t="s">
        <v>60</v>
      </c>
      <c r="F210" s="24">
        <v>214733.32</v>
      </c>
      <c r="G210" s="24">
        <v>6871.76</v>
      </c>
      <c r="H210" s="27">
        <v>3123</v>
      </c>
      <c r="I210" s="27">
        <v>1077.56</v>
      </c>
      <c r="J210" s="23">
        <f t="shared" si="15"/>
        <v>207861.56</v>
      </c>
      <c r="K210" s="24">
        <f t="shared" si="16"/>
        <v>66.558296509766251</v>
      </c>
      <c r="L210" s="311">
        <f t="shared" si="17"/>
        <v>3.2001368022438248E-2</v>
      </c>
      <c r="M210" s="26">
        <f t="shared" si="18"/>
        <v>2.8982144845762652</v>
      </c>
      <c r="N210" s="24">
        <f t="shared" si="19"/>
        <v>199.27736738557482</v>
      </c>
      <c r="O210" s="82"/>
    </row>
    <row r="211" spans="1:15" x14ac:dyDescent="0.25">
      <c r="A211" s="59" t="s">
        <v>8</v>
      </c>
      <c r="B211" s="21">
        <v>410</v>
      </c>
      <c r="C211" s="21" t="s">
        <v>103</v>
      </c>
      <c r="D211" s="21" t="s">
        <v>19</v>
      </c>
      <c r="E211" s="21" t="s">
        <v>59</v>
      </c>
      <c r="F211" s="24">
        <v>201085.56</v>
      </c>
      <c r="G211" s="24">
        <v>8436.23</v>
      </c>
      <c r="H211" s="27">
        <v>3834</v>
      </c>
      <c r="I211" s="27">
        <v>1018.84</v>
      </c>
      <c r="J211" s="23">
        <f t="shared" si="15"/>
        <v>192649.33</v>
      </c>
      <c r="K211" s="24">
        <f t="shared" si="16"/>
        <v>50.247608242044855</v>
      </c>
      <c r="L211" s="311">
        <f t="shared" si="17"/>
        <v>4.1953435144721482E-2</v>
      </c>
      <c r="M211" s="26">
        <f t="shared" si="18"/>
        <v>3.763103136900789</v>
      </c>
      <c r="N211" s="24">
        <f t="shared" si="19"/>
        <v>197.36716265556908</v>
      </c>
      <c r="O211" s="82"/>
    </row>
    <row r="212" spans="1:15" x14ac:dyDescent="0.25">
      <c r="A212" s="59" t="s">
        <v>8</v>
      </c>
      <c r="B212" s="21">
        <v>442</v>
      </c>
      <c r="C212" s="21" t="s">
        <v>100</v>
      </c>
      <c r="D212" s="21" t="s">
        <v>19</v>
      </c>
      <c r="E212" s="21" t="s">
        <v>60</v>
      </c>
      <c r="F212" s="24">
        <v>260650.42</v>
      </c>
      <c r="G212" s="24">
        <v>9701.44</v>
      </c>
      <c r="H212" s="27">
        <v>4409</v>
      </c>
      <c r="I212" s="27">
        <v>1275.1199999999999</v>
      </c>
      <c r="J212" s="23">
        <f t="shared" si="15"/>
        <v>250948.98</v>
      </c>
      <c r="K212" s="24">
        <f t="shared" si="16"/>
        <v>56.917437060557951</v>
      </c>
      <c r="L212" s="311">
        <f t="shared" si="17"/>
        <v>3.7220120343562077E-2</v>
      </c>
      <c r="M212" s="26">
        <f t="shared" si="18"/>
        <v>3.4577137838007408</v>
      </c>
      <c r="N212" s="24">
        <f t="shared" si="19"/>
        <v>204.41246314072404</v>
      </c>
      <c r="O212" s="82"/>
    </row>
    <row r="213" spans="1:15" x14ac:dyDescent="0.25">
      <c r="A213" s="59" t="s">
        <v>8</v>
      </c>
      <c r="B213" s="21">
        <v>442</v>
      </c>
      <c r="C213" s="21" t="s">
        <v>100</v>
      </c>
      <c r="D213" s="21" t="s">
        <v>19</v>
      </c>
      <c r="E213" s="21" t="s">
        <v>59</v>
      </c>
      <c r="F213" s="24">
        <v>255358.2</v>
      </c>
      <c r="G213" s="24">
        <v>11699.38</v>
      </c>
      <c r="H213" s="27">
        <v>5317</v>
      </c>
      <c r="I213" s="27">
        <v>1252.3499999999999</v>
      </c>
      <c r="J213" s="23">
        <f t="shared" si="15"/>
        <v>243658.82</v>
      </c>
      <c r="K213" s="24">
        <f t="shared" si="16"/>
        <v>45.826372014293774</v>
      </c>
      <c r="L213" s="311">
        <f t="shared" si="17"/>
        <v>4.5815564176125922E-2</v>
      </c>
      <c r="M213" s="26">
        <f t="shared" si="18"/>
        <v>4.2456182377130993</v>
      </c>
      <c r="N213" s="24">
        <f t="shared" si="19"/>
        <v>203.90322194274765</v>
      </c>
      <c r="O213" s="82"/>
    </row>
    <row r="214" spans="1:15" x14ac:dyDescent="0.25">
      <c r="A214" s="59" t="s">
        <v>8</v>
      </c>
      <c r="B214" s="21">
        <v>444</v>
      </c>
      <c r="C214" s="21" t="s">
        <v>100</v>
      </c>
      <c r="D214" s="21" t="s">
        <v>19</v>
      </c>
      <c r="E214" s="21" t="s">
        <v>59</v>
      </c>
      <c r="F214" s="24">
        <v>600552.71</v>
      </c>
      <c r="G214" s="24">
        <v>52857.34</v>
      </c>
      <c r="H214" s="27">
        <v>24022</v>
      </c>
      <c r="I214" s="27">
        <v>2583.9</v>
      </c>
      <c r="J214" s="23">
        <f t="shared" si="15"/>
        <v>547695.37</v>
      </c>
      <c r="K214" s="24">
        <f t="shared" si="16"/>
        <v>22.799740654400132</v>
      </c>
      <c r="L214" s="311">
        <f t="shared" si="17"/>
        <v>8.8014489186136552E-2</v>
      </c>
      <c r="M214" s="26">
        <f t="shared" si="18"/>
        <v>9.2967994117419401</v>
      </c>
      <c r="N214" s="24">
        <f t="shared" si="19"/>
        <v>232.42103409574671</v>
      </c>
      <c r="O214" s="82"/>
    </row>
    <row r="215" spans="1:15" x14ac:dyDescent="0.25">
      <c r="A215" s="59" t="s">
        <v>8</v>
      </c>
      <c r="B215" s="21">
        <v>444</v>
      </c>
      <c r="C215" s="21" t="s">
        <v>100</v>
      </c>
      <c r="D215" s="21" t="s">
        <v>19</v>
      </c>
      <c r="E215" s="21" t="s">
        <v>60</v>
      </c>
      <c r="F215" s="24">
        <v>611471.85</v>
      </c>
      <c r="G215" s="24">
        <v>41353.79</v>
      </c>
      <c r="H215" s="27">
        <v>18794</v>
      </c>
      <c r="I215" s="27">
        <v>2630.88</v>
      </c>
      <c r="J215" s="23">
        <f t="shared" si="15"/>
        <v>570118.05999999994</v>
      </c>
      <c r="K215" s="24">
        <f t="shared" si="16"/>
        <v>30.335110141534528</v>
      </c>
      <c r="L215" s="311">
        <f t="shared" si="17"/>
        <v>6.7629916242260377E-2</v>
      </c>
      <c r="M215" s="26">
        <f t="shared" si="18"/>
        <v>7.1436173447667697</v>
      </c>
      <c r="N215" s="24">
        <f t="shared" si="19"/>
        <v>232.42103402663744</v>
      </c>
      <c r="O215" s="82"/>
    </row>
    <row r="216" spans="1:15" x14ac:dyDescent="0.25">
      <c r="A216" s="59" t="s">
        <v>8</v>
      </c>
      <c r="B216" s="21">
        <v>445</v>
      </c>
      <c r="C216" s="21" t="s">
        <v>100</v>
      </c>
      <c r="D216" s="21" t="s">
        <v>19</v>
      </c>
      <c r="E216" s="21" t="s">
        <v>59</v>
      </c>
      <c r="F216" s="24">
        <v>171108.37</v>
      </c>
      <c r="G216" s="24">
        <v>10051.299999999999</v>
      </c>
      <c r="H216" s="27">
        <v>4568</v>
      </c>
      <c r="I216" s="27">
        <v>736.2</v>
      </c>
      <c r="J216" s="23">
        <f t="shared" si="15"/>
        <v>161057.07</v>
      </c>
      <c r="K216" s="24">
        <f t="shared" si="16"/>
        <v>35.257677320490366</v>
      </c>
      <c r="L216" s="311">
        <f t="shared" si="17"/>
        <v>5.8742304657568765E-2</v>
      </c>
      <c r="M216" s="26">
        <f t="shared" si="18"/>
        <v>6.2048356424884537</v>
      </c>
      <c r="N216" s="24">
        <f t="shared" si="19"/>
        <v>232.42104047813092</v>
      </c>
      <c r="O216" s="82"/>
    </row>
    <row r="217" spans="1:15" x14ac:dyDescent="0.25">
      <c r="A217" s="59" t="s">
        <v>8</v>
      </c>
      <c r="B217" s="21">
        <v>445</v>
      </c>
      <c r="C217" s="21" t="s">
        <v>100</v>
      </c>
      <c r="D217" s="21" t="s">
        <v>19</v>
      </c>
      <c r="E217" s="21" t="s">
        <v>60</v>
      </c>
      <c r="F217" s="24">
        <v>174408.74</v>
      </c>
      <c r="G217" s="24">
        <v>8002.75</v>
      </c>
      <c r="H217" s="27">
        <v>3637</v>
      </c>
      <c r="I217" s="27">
        <v>750.4</v>
      </c>
      <c r="J217" s="23">
        <f t="shared" si="15"/>
        <v>166405.99</v>
      </c>
      <c r="K217" s="24">
        <f t="shared" si="16"/>
        <v>45.753640362936487</v>
      </c>
      <c r="L217" s="311">
        <f t="shared" si="17"/>
        <v>4.5885028468183417E-2</v>
      </c>
      <c r="M217" s="26">
        <f t="shared" si="18"/>
        <v>4.8467484008528787</v>
      </c>
      <c r="N217" s="24">
        <f t="shared" si="19"/>
        <v>232.42102878464817</v>
      </c>
      <c r="O217" s="82"/>
    </row>
    <row r="218" spans="1:15" x14ac:dyDescent="0.25">
      <c r="A218" s="59" t="s">
        <v>8</v>
      </c>
      <c r="B218" s="21">
        <v>446</v>
      </c>
      <c r="C218" s="21" t="s">
        <v>100</v>
      </c>
      <c r="D218" s="21" t="s">
        <v>19</v>
      </c>
      <c r="E218" s="21" t="s">
        <v>59</v>
      </c>
      <c r="F218" s="24">
        <v>152375.23000000001</v>
      </c>
      <c r="G218" s="24">
        <v>8766.2800000000007</v>
      </c>
      <c r="H218" s="27">
        <v>3984</v>
      </c>
      <c r="I218" s="27">
        <v>655.6</v>
      </c>
      <c r="J218" s="23">
        <f t="shared" si="15"/>
        <v>143608.95000000001</v>
      </c>
      <c r="K218" s="24">
        <f t="shared" si="16"/>
        <v>36.046423192771087</v>
      </c>
      <c r="L218" s="311">
        <f t="shared" si="17"/>
        <v>5.7530872964063777E-2</v>
      </c>
      <c r="M218" s="26">
        <f t="shared" si="18"/>
        <v>6.0768761439902379</v>
      </c>
      <c r="N218" s="24">
        <f t="shared" si="19"/>
        <v>232.42103416717512</v>
      </c>
      <c r="O218" s="82"/>
    </row>
    <row r="219" spans="1:15" x14ac:dyDescent="0.25">
      <c r="A219" s="59" t="s">
        <v>8</v>
      </c>
      <c r="B219" s="21">
        <v>446</v>
      </c>
      <c r="C219" s="21" t="s">
        <v>100</v>
      </c>
      <c r="D219" s="21" t="s">
        <v>19</v>
      </c>
      <c r="E219" s="21" t="s">
        <v>60</v>
      </c>
      <c r="F219" s="24">
        <v>155145.69</v>
      </c>
      <c r="G219" s="24">
        <v>6913.57</v>
      </c>
      <c r="H219" s="27">
        <v>3142</v>
      </c>
      <c r="I219" s="27">
        <v>667.52</v>
      </c>
      <c r="J219" s="23">
        <f t="shared" si="15"/>
        <v>148232.12</v>
      </c>
      <c r="K219" s="24">
        <f t="shared" si="16"/>
        <v>47.177632081476766</v>
      </c>
      <c r="L219" s="311">
        <f t="shared" si="17"/>
        <v>4.456179220963212E-2</v>
      </c>
      <c r="M219" s="26">
        <f t="shared" si="18"/>
        <v>4.7069750719079577</v>
      </c>
      <c r="N219" s="24">
        <f t="shared" si="19"/>
        <v>232.42103607382552</v>
      </c>
      <c r="O219" s="82"/>
    </row>
    <row r="220" spans="1:15" x14ac:dyDescent="0.25">
      <c r="A220" s="59" t="s">
        <v>8</v>
      </c>
      <c r="B220" s="21">
        <v>447</v>
      </c>
      <c r="C220" s="21" t="s">
        <v>100</v>
      </c>
      <c r="D220" s="21" t="s">
        <v>19</v>
      </c>
      <c r="E220" s="21" t="s">
        <v>59</v>
      </c>
      <c r="F220" s="24">
        <v>161637.21</v>
      </c>
      <c r="G220" s="24">
        <v>4125.7</v>
      </c>
      <c r="H220" s="27">
        <v>1875</v>
      </c>
      <c r="I220" s="27">
        <v>695.45</v>
      </c>
      <c r="J220" s="23">
        <f t="shared" si="15"/>
        <v>157511.50999999998</v>
      </c>
      <c r="K220" s="24">
        <f t="shared" si="16"/>
        <v>84.006138666666658</v>
      </c>
      <c r="L220" s="311">
        <f t="shared" si="17"/>
        <v>2.552444452610881E-2</v>
      </c>
      <c r="M220" s="26">
        <f t="shared" si="18"/>
        <v>2.6960960529153786</v>
      </c>
      <c r="N220" s="24">
        <f t="shared" si="19"/>
        <v>232.4210367388022</v>
      </c>
      <c r="O220" s="82"/>
    </row>
    <row r="221" spans="1:15" x14ac:dyDescent="0.25">
      <c r="A221" s="59" t="s">
        <v>8</v>
      </c>
      <c r="B221" s="21">
        <v>447</v>
      </c>
      <c r="C221" s="21" t="s">
        <v>100</v>
      </c>
      <c r="D221" s="21" t="s">
        <v>19</v>
      </c>
      <c r="E221" s="21" t="s">
        <v>60</v>
      </c>
      <c r="F221" s="24">
        <v>164581.98000000001</v>
      </c>
      <c r="G221" s="24">
        <v>3580.01</v>
      </c>
      <c r="H221" s="27">
        <v>1627</v>
      </c>
      <c r="I221" s="27">
        <v>708.12</v>
      </c>
      <c r="J221" s="23">
        <f t="shared" si="15"/>
        <v>161001.97</v>
      </c>
      <c r="K221" s="24">
        <f t="shared" si="16"/>
        <v>98.956342962507676</v>
      </c>
      <c r="L221" s="311">
        <f t="shared" si="17"/>
        <v>2.1752138356823755E-2</v>
      </c>
      <c r="M221" s="26">
        <f t="shared" si="18"/>
        <v>2.2976331695192904</v>
      </c>
      <c r="N221" s="24">
        <f t="shared" si="19"/>
        <v>232.42103033384174</v>
      </c>
      <c r="O221" s="82"/>
    </row>
    <row r="222" spans="1:15" x14ac:dyDescent="0.25">
      <c r="A222" s="59" t="s">
        <v>8</v>
      </c>
      <c r="B222" s="21">
        <v>495</v>
      </c>
      <c r="C222" s="21" t="s">
        <v>100</v>
      </c>
      <c r="D222" s="21" t="s">
        <v>80</v>
      </c>
      <c r="E222" s="21" t="s">
        <v>59</v>
      </c>
      <c r="F222" s="24">
        <v>432070.7</v>
      </c>
      <c r="G222" s="24">
        <v>23381.15</v>
      </c>
      <c r="H222" s="27">
        <v>10626</v>
      </c>
      <c r="I222" s="27">
        <v>1859</v>
      </c>
      <c r="J222" s="23">
        <f t="shared" si="15"/>
        <v>408689.55</v>
      </c>
      <c r="K222" s="24">
        <f t="shared" si="16"/>
        <v>38.46127893845285</v>
      </c>
      <c r="L222" s="311">
        <f t="shared" si="17"/>
        <v>5.4114176221622991E-2</v>
      </c>
      <c r="M222" s="26">
        <f t="shared" si="18"/>
        <v>5.7159763313609471</v>
      </c>
      <c r="N222" s="24">
        <f t="shared" si="19"/>
        <v>232.4210328133405</v>
      </c>
      <c r="O222" s="82"/>
    </row>
    <row r="223" spans="1:15" x14ac:dyDescent="0.25">
      <c r="A223" s="59" t="s">
        <v>8</v>
      </c>
      <c r="B223" s="21">
        <v>495</v>
      </c>
      <c r="C223" s="21" t="s">
        <v>100</v>
      </c>
      <c r="D223" s="21" t="s">
        <v>80</v>
      </c>
      <c r="E223" s="21" t="s">
        <v>60</v>
      </c>
      <c r="F223" s="24">
        <v>455212.86</v>
      </c>
      <c r="G223" s="24">
        <v>22331.58</v>
      </c>
      <c r="H223" s="27">
        <v>10149</v>
      </c>
      <c r="I223" s="27">
        <v>1958.57</v>
      </c>
      <c r="J223" s="23">
        <f t="shared" si="15"/>
        <v>432881.27999999997</v>
      </c>
      <c r="K223" s="24">
        <f t="shared" si="16"/>
        <v>42.652604197457876</v>
      </c>
      <c r="L223" s="311">
        <f t="shared" si="17"/>
        <v>4.9057445345458833E-2</v>
      </c>
      <c r="M223" s="26">
        <f t="shared" si="18"/>
        <v>5.1818418540057287</v>
      </c>
      <c r="N223" s="24">
        <f t="shared" si="19"/>
        <v>232.42103167106615</v>
      </c>
      <c r="O223" s="82"/>
    </row>
    <row r="224" spans="1:15" x14ac:dyDescent="0.25">
      <c r="A224" s="59" t="s">
        <v>8</v>
      </c>
      <c r="B224" s="21">
        <v>444</v>
      </c>
      <c r="C224" s="21" t="s">
        <v>100</v>
      </c>
      <c r="D224" s="21" t="s">
        <v>19</v>
      </c>
      <c r="E224" s="21" t="s">
        <v>27</v>
      </c>
      <c r="F224" s="24">
        <v>3222730.73</v>
      </c>
      <c r="G224" s="24">
        <v>286206.78000000003</v>
      </c>
      <c r="H224" s="27">
        <v>130072</v>
      </c>
      <c r="I224" s="27">
        <v>13650.79</v>
      </c>
      <c r="J224" s="23">
        <f t="shared" si="15"/>
        <v>2936523.95</v>
      </c>
      <c r="K224" s="24">
        <f t="shared" si="16"/>
        <v>22.576142059782274</v>
      </c>
      <c r="L224" s="311">
        <f t="shared" si="17"/>
        <v>8.8808778634757377E-2</v>
      </c>
      <c r="M224" s="26">
        <f t="shared" si="18"/>
        <v>9.5285327808866729</v>
      </c>
      <c r="N224" s="24">
        <f t="shared" si="19"/>
        <v>236.08382591776737</v>
      </c>
      <c r="O224" s="82"/>
    </row>
    <row r="225" spans="1:15" x14ac:dyDescent="0.25">
      <c r="A225" s="59" t="s">
        <v>8</v>
      </c>
      <c r="B225" s="21">
        <v>495</v>
      </c>
      <c r="C225" s="21" t="s">
        <v>100</v>
      </c>
      <c r="D225" s="21" t="s">
        <v>80</v>
      </c>
      <c r="E225" s="21" t="s">
        <v>27</v>
      </c>
      <c r="F225" s="24">
        <v>1969796.15</v>
      </c>
      <c r="G225" s="24">
        <v>129604.11</v>
      </c>
      <c r="H225" s="27">
        <v>58901</v>
      </c>
      <c r="I225" s="27">
        <v>8475.1200000000008</v>
      </c>
      <c r="J225" s="23">
        <f t="shared" si="15"/>
        <v>1840192.0399999998</v>
      </c>
      <c r="K225" s="24">
        <f t="shared" si="16"/>
        <v>31.242118809527849</v>
      </c>
      <c r="L225" s="311">
        <f t="shared" si="17"/>
        <v>6.5795696676531734E-2</v>
      </c>
      <c r="M225" s="26">
        <f t="shared" si="18"/>
        <v>6.949872096206307</v>
      </c>
      <c r="N225" s="24">
        <f t="shared" si="19"/>
        <v>232.42103356648633</v>
      </c>
      <c r="O225" s="82"/>
    </row>
    <row r="226" spans="1:15" x14ac:dyDescent="0.25">
      <c r="A226" s="59" t="s">
        <v>8</v>
      </c>
      <c r="B226" s="21">
        <v>445</v>
      </c>
      <c r="C226" s="21" t="s">
        <v>100</v>
      </c>
      <c r="D226" s="21" t="s">
        <v>19</v>
      </c>
      <c r="E226" s="21" t="s">
        <v>27</v>
      </c>
      <c r="F226" s="24">
        <v>1139202.3999999999</v>
      </c>
      <c r="G226" s="24">
        <v>74000.710000000006</v>
      </c>
      <c r="H226" s="27">
        <v>33631</v>
      </c>
      <c r="I226" s="27">
        <v>4901.46</v>
      </c>
      <c r="J226" s="23">
        <f t="shared" si="15"/>
        <v>1065201.69</v>
      </c>
      <c r="K226" s="24">
        <f t="shared" si="16"/>
        <v>31.673208944128927</v>
      </c>
      <c r="L226" s="311">
        <f t="shared" si="17"/>
        <v>6.4958351562461603E-2</v>
      </c>
      <c r="M226" s="26">
        <f t="shared" si="18"/>
        <v>6.8614249631742377</v>
      </c>
      <c r="N226" s="24">
        <f t="shared" si="19"/>
        <v>232.42103373280611</v>
      </c>
      <c r="O226" s="82"/>
    </row>
    <row r="227" spans="1:15" x14ac:dyDescent="0.25">
      <c r="A227" s="59" t="s">
        <v>8</v>
      </c>
      <c r="B227" s="21">
        <v>446</v>
      </c>
      <c r="C227" s="21" t="s">
        <v>100</v>
      </c>
      <c r="D227" s="21" t="s">
        <v>19</v>
      </c>
      <c r="E227" s="21" t="s">
        <v>27</v>
      </c>
      <c r="F227" s="24">
        <v>1459876.03</v>
      </c>
      <c r="G227" s="24">
        <v>89346.1</v>
      </c>
      <c r="H227" s="27">
        <v>40605</v>
      </c>
      <c r="I227" s="27">
        <v>6281.17</v>
      </c>
      <c r="J227" s="23">
        <f t="shared" si="15"/>
        <v>1370529.93</v>
      </c>
      <c r="K227" s="24">
        <f t="shared" si="16"/>
        <v>33.752738086442555</v>
      </c>
      <c r="L227" s="311">
        <f t="shared" si="17"/>
        <v>6.1201155552913632E-2</v>
      </c>
      <c r="M227" s="26">
        <f t="shared" si="18"/>
        <v>6.4645599466341457</v>
      </c>
      <c r="N227" s="24">
        <f t="shared" si="19"/>
        <v>232.42103461616227</v>
      </c>
      <c r="O227" s="82"/>
    </row>
    <row r="228" spans="1:15" x14ac:dyDescent="0.25">
      <c r="A228" s="59" t="s">
        <v>8</v>
      </c>
      <c r="B228" s="21">
        <v>497</v>
      </c>
      <c r="C228" s="21" t="s">
        <v>100</v>
      </c>
      <c r="D228" s="21" t="s">
        <v>19</v>
      </c>
      <c r="E228" s="21" t="s">
        <v>59</v>
      </c>
      <c r="F228" s="24">
        <v>63099.519999999997</v>
      </c>
      <c r="G228" s="24">
        <v>2044.15</v>
      </c>
      <c r="H228" s="27">
        <v>929</v>
      </c>
      <c r="I228" s="27">
        <v>425.15</v>
      </c>
      <c r="J228" s="23">
        <f t="shared" si="15"/>
        <v>61055.369999999995</v>
      </c>
      <c r="K228" s="24">
        <f t="shared" si="16"/>
        <v>65.721603875134548</v>
      </c>
      <c r="L228" s="311">
        <f t="shared" si="17"/>
        <v>3.2395650553284722E-2</v>
      </c>
      <c r="M228" s="26">
        <f t="shared" si="18"/>
        <v>2.185111137245678</v>
      </c>
      <c r="N228" s="24">
        <f t="shared" si="19"/>
        <v>148.41707632600259</v>
      </c>
      <c r="O228" s="82"/>
    </row>
    <row r="229" spans="1:15" x14ac:dyDescent="0.25">
      <c r="A229" s="59" t="s">
        <v>8</v>
      </c>
      <c r="B229" s="21">
        <v>497</v>
      </c>
      <c r="C229" s="21" t="s">
        <v>100</v>
      </c>
      <c r="D229" s="21" t="s">
        <v>19</v>
      </c>
      <c r="E229" s="21" t="s">
        <v>60</v>
      </c>
      <c r="F229" s="24">
        <v>64896.13</v>
      </c>
      <c r="G229" s="24">
        <v>1733.89</v>
      </c>
      <c r="H229" s="27">
        <v>788</v>
      </c>
      <c r="I229" s="27">
        <v>432.88</v>
      </c>
      <c r="J229" s="23">
        <f t="shared" si="15"/>
        <v>63162.239999999998</v>
      </c>
      <c r="K229" s="24">
        <f t="shared" si="16"/>
        <v>80.155126903553295</v>
      </c>
      <c r="L229" s="311">
        <f t="shared" si="17"/>
        <v>2.6717926015002745E-2</v>
      </c>
      <c r="M229" s="26">
        <f t="shared" si="18"/>
        <v>1.820365921271484</v>
      </c>
      <c r="N229" s="24">
        <f t="shared" si="19"/>
        <v>149.91713638883755</v>
      </c>
      <c r="O229" s="82"/>
    </row>
    <row r="230" spans="1:15" x14ac:dyDescent="0.25">
      <c r="A230" s="59" t="s">
        <v>8</v>
      </c>
      <c r="B230" s="21">
        <v>442</v>
      </c>
      <c r="C230" s="21" t="s">
        <v>100</v>
      </c>
      <c r="D230" s="21" t="s">
        <v>19</v>
      </c>
      <c r="E230" s="21" t="s">
        <v>27</v>
      </c>
      <c r="F230" s="24">
        <v>1577238.88</v>
      </c>
      <c r="G230" s="24">
        <v>68796.83</v>
      </c>
      <c r="H230" s="27">
        <v>31266</v>
      </c>
      <c r="I230" s="27">
        <v>6939.79</v>
      </c>
      <c r="J230" s="23">
        <f t="shared" si="15"/>
        <v>1508442.0499999998</v>
      </c>
      <c r="K230" s="24">
        <f t="shared" si="16"/>
        <v>48.245443932706451</v>
      </c>
      <c r="L230" s="311">
        <f t="shared" si="17"/>
        <v>4.3618522769360089E-2</v>
      </c>
      <c r="M230" s="26">
        <f t="shared" si="18"/>
        <v>4.5053236481219177</v>
      </c>
      <c r="N230" s="24">
        <f t="shared" si="19"/>
        <v>227.27472733324782</v>
      </c>
      <c r="O230" s="82"/>
    </row>
    <row r="231" spans="1:15" x14ac:dyDescent="0.25">
      <c r="A231" s="59" t="s">
        <v>8</v>
      </c>
      <c r="B231" s="21">
        <v>440</v>
      </c>
      <c r="C231" s="21" t="s">
        <v>100</v>
      </c>
      <c r="D231" s="21" t="s">
        <v>19</v>
      </c>
      <c r="E231" s="21" t="s">
        <v>27</v>
      </c>
      <c r="F231" s="24">
        <v>955108.2</v>
      </c>
      <c r="G231" s="24">
        <v>31676.55</v>
      </c>
      <c r="H231" s="27">
        <v>14396</v>
      </c>
      <c r="I231" s="27">
        <v>4263.05</v>
      </c>
      <c r="J231" s="23">
        <f t="shared" si="15"/>
        <v>923431.64999999991</v>
      </c>
      <c r="K231" s="24">
        <f t="shared" si="16"/>
        <v>64.145015976660176</v>
      </c>
      <c r="L231" s="311">
        <f t="shared" si="17"/>
        <v>3.3165404715402927E-2</v>
      </c>
      <c r="M231" s="26">
        <f t="shared" si="18"/>
        <v>3.3769249715579219</v>
      </c>
      <c r="N231" s="24">
        <f t="shared" si="19"/>
        <v>224.04339616002625</v>
      </c>
      <c r="O231" s="82"/>
    </row>
    <row r="232" spans="1:15" x14ac:dyDescent="0.25">
      <c r="A232" s="59" t="s">
        <v>8</v>
      </c>
      <c r="B232" s="21">
        <v>499</v>
      </c>
      <c r="C232" s="21" t="s">
        <v>100</v>
      </c>
      <c r="D232" s="21" t="s">
        <v>19</v>
      </c>
      <c r="E232" s="21" t="s">
        <v>59</v>
      </c>
      <c r="F232" s="24">
        <v>77193.53</v>
      </c>
      <c r="G232" s="24">
        <v>2176.17</v>
      </c>
      <c r="H232" s="27">
        <v>989</v>
      </c>
      <c r="I232" s="27">
        <v>485.79</v>
      </c>
      <c r="J232" s="23">
        <f t="shared" si="15"/>
        <v>75017.36</v>
      </c>
      <c r="K232" s="24">
        <f t="shared" si="16"/>
        <v>75.851729019211319</v>
      </c>
      <c r="L232" s="311">
        <f t="shared" si="17"/>
        <v>2.8191093217268339E-2</v>
      </c>
      <c r="M232" s="26">
        <f t="shared" si="18"/>
        <v>2.0358591160789641</v>
      </c>
      <c r="N232" s="24">
        <f t="shared" si="19"/>
        <v>158.90308569546511</v>
      </c>
      <c r="O232" s="82"/>
    </row>
    <row r="233" spans="1:15" x14ac:dyDescent="0.25">
      <c r="A233" s="59" t="s">
        <v>8</v>
      </c>
      <c r="B233" s="21">
        <v>499</v>
      </c>
      <c r="C233" s="21" t="s">
        <v>100</v>
      </c>
      <c r="D233" s="21" t="s">
        <v>19</v>
      </c>
      <c r="E233" s="21" t="s">
        <v>60</v>
      </c>
      <c r="F233" s="24">
        <v>77288.820000000007</v>
      </c>
      <c r="G233" s="24">
        <v>1511.66</v>
      </c>
      <c r="H233" s="27">
        <v>687</v>
      </c>
      <c r="I233" s="27">
        <v>486.2</v>
      </c>
      <c r="J233" s="23">
        <f t="shared" si="15"/>
        <v>75777.16</v>
      </c>
      <c r="K233" s="24">
        <f t="shared" si="16"/>
        <v>110.30154294032023</v>
      </c>
      <c r="L233" s="311">
        <f t="shared" si="17"/>
        <v>1.9558585575507558E-2</v>
      </c>
      <c r="M233" s="26">
        <f t="shared" si="18"/>
        <v>1.4129987659399423</v>
      </c>
      <c r="N233" s="24">
        <f t="shared" si="19"/>
        <v>158.96507610037023</v>
      </c>
      <c r="O233" s="82"/>
    </row>
    <row r="234" spans="1:15" x14ac:dyDescent="0.25">
      <c r="A234" s="59" t="s">
        <v>8</v>
      </c>
      <c r="B234" s="21">
        <v>410</v>
      </c>
      <c r="C234" s="21" t="s">
        <v>103</v>
      </c>
      <c r="D234" s="21" t="s">
        <v>19</v>
      </c>
      <c r="E234" s="21" t="s">
        <v>27</v>
      </c>
      <c r="F234" s="24">
        <v>441357.78</v>
      </c>
      <c r="G234" s="24">
        <v>12522.32</v>
      </c>
      <c r="H234" s="27">
        <v>5691</v>
      </c>
      <c r="I234" s="27">
        <v>2052.62</v>
      </c>
      <c r="J234" s="23">
        <f t="shared" si="15"/>
        <v>428835.46</v>
      </c>
      <c r="K234" s="24">
        <f t="shared" si="16"/>
        <v>75.353270075557901</v>
      </c>
      <c r="L234" s="311">
        <f t="shared" si="17"/>
        <v>2.8372265240232085E-2</v>
      </c>
      <c r="M234" s="26">
        <f t="shared" si="18"/>
        <v>2.7725541015872399</v>
      </c>
      <c r="N234" s="24">
        <f t="shared" si="19"/>
        <v>215.02166986583003</v>
      </c>
      <c r="O234" s="82"/>
    </row>
    <row r="235" spans="1:15" x14ac:dyDescent="0.25">
      <c r="A235" s="59" t="s">
        <v>8</v>
      </c>
      <c r="B235" s="21">
        <v>489</v>
      </c>
      <c r="C235" s="21" t="s">
        <v>100</v>
      </c>
      <c r="D235" s="21" t="s">
        <v>19</v>
      </c>
      <c r="E235" s="21" t="s">
        <v>27</v>
      </c>
      <c r="F235" s="24">
        <v>316868.42</v>
      </c>
      <c r="G235" s="24">
        <v>6678.13</v>
      </c>
      <c r="H235" s="27">
        <v>3035</v>
      </c>
      <c r="I235" s="27">
        <v>1517</v>
      </c>
      <c r="J235" s="23">
        <f t="shared" si="15"/>
        <v>310190.28999999998</v>
      </c>
      <c r="K235" s="24">
        <f t="shared" si="16"/>
        <v>102.20437891268533</v>
      </c>
      <c r="L235" s="311">
        <f t="shared" si="17"/>
        <v>2.1075404106221756E-2</v>
      </c>
      <c r="M235" s="26">
        <f t="shared" si="18"/>
        <v>2.000659195781147</v>
      </c>
      <c r="N235" s="24">
        <f t="shared" si="19"/>
        <v>208.87832564271588</v>
      </c>
      <c r="O235" s="82"/>
    </row>
    <row r="236" spans="1:15" x14ac:dyDescent="0.25">
      <c r="A236" s="59" t="s">
        <v>8</v>
      </c>
      <c r="B236" s="21">
        <v>436</v>
      </c>
      <c r="C236" s="21" t="s">
        <v>100</v>
      </c>
      <c r="D236" s="21" t="s">
        <v>19</v>
      </c>
      <c r="E236" s="21" t="s">
        <v>27</v>
      </c>
      <c r="F236" s="24">
        <v>571674.4</v>
      </c>
      <c r="G236" s="24">
        <v>25150.25</v>
      </c>
      <c r="H236" s="27">
        <v>11430</v>
      </c>
      <c r="I236" s="27">
        <v>2459.65</v>
      </c>
      <c r="J236" s="23">
        <f t="shared" si="15"/>
        <v>546524.15</v>
      </c>
      <c r="K236" s="24">
        <f t="shared" si="16"/>
        <v>47.814886264216973</v>
      </c>
      <c r="L236" s="311">
        <f t="shared" si="17"/>
        <v>4.3994011276348916E-2</v>
      </c>
      <c r="M236" s="26">
        <f t="shared" si="18"/>
        <v>4.6470026223243144</v>
      </c>
      <c r="N236" s="24">
        <f t="shared" si="19"/>
        <v>232.42103551318277</v>
      </c>
      <c r="O236" s="82"/>
    </row>
    <row r="237" spans="1:15" x14ac:dyDescent="0.25">
      <c r="A237" s="59" t="s">
        <v>8</v>
      </c>
      <c r="B237" s="21">
        <v>447</v>
      </c>
      <c r="C237" s="21" t="s">
        <v>100</v>
      </c>
      <c r="D237" s="21" t="s">
        <v>19</v>
      </c>
      <c r="E237" s="21" t="s">
        <v>27</v>
      </c>
      <c r="F237" s="24">
        <v>746215.62</v>
      </c>
      <c r="G237" s="24">
        <v>23121.51</v>
      </c>
      <c r="H237" s="27">
        <v>10508</v>
      </c>
      <c r="I237" s="27">
        <v>3210.62</v>
      </c>
      <c r="J237" s="23">
        <f t="shared" si="15"/>
        <v>723094.11</v>
      </c>
      <c r="K237" s="24">
        <f t="shared" si="16"/>
        <v>68.813676246669203</v>
      </c>
      <c r="L237" s="311">
        <f t="shared" si="17"/>
        <v>3.098502548097291E-2</v>
      </c>
      <c r="M237" s="26">
        <f t="shared" si="18"/>
        <v>3.2728881026094649</v>
      </c>
      <c r="N237" s="24">
        <f t="shared" si="19"/>
        <v>232.4210339435997</v>
      </c>
      <c r="O237" s="82"/>
    </row>
    <row r="238" spans="1:15" x14ac:dyDescent="0.25">
      <c r="A238" s="59" t="s">
        <v>8</v>
      </c>
      <c r="B238" s="21">
        <v>425</v>
      </c>
      <c r="C238" s="21" t="s">
        <v>104</v>
      </c>
      <c r="D238" s="21" t="s">
        <v>19</v>
      </c>
      <c r="E238" s="21" t="s">
        <v>27</v>
      </c>
      <c r="F238" s="24">
        <v>1522985.31</v>
      </c>
      <c r="G238" s="24">
        <v>43430.94</v>
      </c>
      <c r="H238" s="27">
        <v>19738</v>
      </c>
      <c r="I238" s="27">
        <v>6552.7</v>
      </c>
      <c r="J238" s="23">
        <f t="shared" si="15"/>
        <v>1479554.37</v>
      </c>
      <c r="K238" s="24">
        <f t="shared" si="16"/>
        <v>74.959690444827245</v>
      </c>
      <c r="L238" s="311">
        <f t="shared" si="17"/>
        <v>2.8516978932646434E-2</v>
      </c>
      <c r="M238" s="26">
        <f t="shared" si="18"/>
        <v>3.0121934469760556</v>
      </c>
      <c r="N238" s="24">
        <f t="shared" si="19"/>
        <v>232.42103407755584</v>
      </c>
      <c r="O238" s="82"/>
    </row>
    <row r="239" spans="1:15" x14ac:dyDescent="0.25">
      <c r="A239" s="59" t="s">
        <v>8</v>
      </c>
      <c r="B239" s="21">
        <v>497</v>
      </c>
      <c r="C239" s="21" t="s">
        <v>100</v>
      </c>
      <c r="D239" s="21" t="s">
        <v>19</v>
      </c>
      <c r="E239" s="21" t="s">
        <v>27</v>
      </c>
      <c r="F239" s="24">
        <v>725057.86</v>
      </c>
      <c r="G239" s="24">
        <v>19099.23</v>
      </c>
      <c r="H239" s="27">
        <v>8680</v>
      </c>
      <c r="I239" s="27">
        <v>3273.25</v>
      </c>
      <c r="J239" s="23">
        <f t="shared" si="15"/>
        <v>705958.63</v>
      </c>
      <c r="K239" s="24">
        <f t="shared" si="16"/>
        <v>81.331639400921659</v>
      </c>
      <c r="L239" s="311">
        <f t="shared" si="17"/>
        <v>2.6341663270845722E-2</v>
      </c>
      <c r="M239" s="26">
        <f t="shared" si="18"/>
        <v>2.6517986710455967</v>
      </c>
      <c r="N239" s="24">
        <f t="shared" si="19"/>
        <v>221.51007714045673</v>
      </c>
      <c r="O239" s="82"/>
    </row>
    <row r="240" spans="1:15" x14ac:dyDescent="0.25">
      <c r="A240" s="59" t="s">
        <v>8</v>
      </c>
      <c r="B240" s="21">
        <v>420</v>
      </c>
      <c r="C240" s="21" t="s">
        <v>100</v>
      </c>
      <c r="D240" s="21" t="s">
        <v>19</v>
      </c>
      <c r="E240" s="21" t="s">
        <v>27</v>
      </c>
      <c r="F240" s="24">
        <v>594581.81000000006</v>
      </c>
      <c r="G240" s="24">
        <v>13956.96</v>
      </c>
      <c r="H240" s="27">
        <v>6343</v>
      </c>
      <c r="I240" s="27">
        <v>2558.21</v>
      </c>
      <c r="J240" s="23">
        <f t="shared" si="15"/>
        <v>580624.85000000009</v>
      </c>
      <c r="K240" s="24">
        <f t="shared" si="16"/>
        <v>91.5378921645909</v>
      </c>
      <c r="L240" s="311">
        <f t="shared" si="17"/>
        <v>2.3473573804755309E-2</v>
      </c>
      <c r="M240" s="26">
        <f t="shared" si="18"/>
        <v>2.4794680655614667</v>
      </c>
      <c r="N240" s="24">
        <f t="shared" si="19"/>
        <v>232.42103267519087</v>
      </c>
      <c r="O240" s="82"/>
    </row>
    <row r="241" spans="1:15" x14ac:dyDescent="0.25">
      <c r="A241" s="59" t="s">
        <v>8</v>
      </c>
      <c r="B241" s="21">
        <v>498</v>
      </c>
      <c r="C241" s="21" t="s">
        <v>105</v>
      </c>
      <c r="D241" s="21" t="s">
        <v>80</v>
      </c>
      <c r="E241" s="21" t="s">
        <v>27</v>
      </c>
      <c r="F241" s="24">
        <v>267958.21000000002</v>
      </c>
      <c r="G241" s="24">
        <v>2900.09</v>
      </c>
      <c r="H241" s="27">
        <v>1318</v>
      </c>
      <c r="I241" s="27">
        <v>1152.9000000000001</v>
      </c>
      <c r="J241" s="23">
        <f t="shared" si="15"/>
        <v>265058.12</v>
      </c>
      <c r="K241" s="24">
        <f t="shared" si="16"/>
        <v>201.10631259484066</v>
      </c>
      <c r="L241" s="311">
        <f t="shared" si="17"/>
        <v>1.0822918991733823E-2</v>
      </c>
      <c r="M241" s="26">
        <f t="shared" si="18"/>
        <v>1.143204094023766</v>
      </c>
      <c r="N241" s="24">
        <f t="shared" si="19"/>
        <v>232.42103391447654</v>
      </c>
      <c r="O241" s="82"/>
    </row>
    <row r="242" spans="1:15" x14ac:dyDescent="0.25">
      <c r="A242" s="59" t="s">
        <v>8</v>
      </c>
      <c r="B242" s="21">
        <v>499</v>
      </c>
      <c r="C242" s="21" t="s">
        <v>100</v>
      </c>
      <c r="D242" s="21" t="s">
        <v>19</v>
      </c>
      <c r="E242" s="21" t="s">
        <v>27</v>
      </c>
      <c r="F242" s="24">
        <v>777787.22</v>
      </c>
      <c r="G242" s="24">
        <v>15957.1</v>
      </c>
      <c r="H242" s="27">
        <v>7252</v>
      </c>
      <c r="I242" s="27">
        <v>3500.12</v>
      </c>
      <c r="J242" s="23">
        <f t="shared" si="15"/>
        <v>761830.12</v>
      </c>
      <c r="K242" s="24">
        <f t="shared" si="16"/>
        <v>105.05103695532267</v>
      </c>
      <c r="L242" s="311">
        <f t="shared" si="17"/>
        <v>2.051602236405993E-2</v>
      </c>
      <c r="M242" s="26">
        <f t="shared" si="18"/>
        <v>2.0719289624355737</v>
      </c>
      <c r="N242" s="24">
        <f t="shared" si="19"/>
        <v>222.21730112110441</v>
      </c>
      <c r="O242" s="82"/>
    </row>
    <row r="243" spans="1:15" x14ac:dyDescent="0.25">
      <c r="A243" s="59" t="s">
        <v>117</v>
      </c>
      <c r="B243" s="21">
        <v>921</v>
      </c>
      <c r="C243" s="21" t="s">
        <v>70</v>
      </c>
      <c r="D243" s="21" t="s">
        <v>47</v>
      </c>
      <c r="E243" s="21" t="s">
        <v>27</v>
      </c>
      <c r="F243" s="24">
        <v>8355667.4199999999</v>
      </c>
      <c r="G243" s="24">
        <v>625895.6</v>
      </c>
      <c r="H243" s="27">
        <v>954098</v>
      </c>
      <c r="I243" s="27">
        <v>24168.7</v>
      </c>
      <c r="J243" s="23">
        <f t="shared" si="15"/>
        <v>7729771.8200000003</v>
      </c>
      <c r="K243" s="24">
        <f t="shared" si="16"/>
        <v>8.1016539391131737</v>
      </c>
      <c r="L243" s="311">
        <f t="shared" si="17"/>
        <v>7.4906715231612214E-2</v>
      </c>
      <c r="M243" s="26">
        <f t="shared" si="18"/>
        <v>39.476595762287587</v>
      </c>
      <c r="N243" s="24">
        <f t="shared" si="19"/>
        <v>345.72266692043843</v>
      </c>
      <c r="O243" s="82"/>
    </row>
    <row r="244" spans="1:15" x14ac:dyDescent="0.25">
      <c r="A244" s="59" t="s">
        <v>117</v>
      </c>
      <c r="B244" s="21">
        <v>923</v>
      </c>
      <c r="C244" s="21" t="s">
        <v>71</v>
      </c>
      <c r="D244" s="21" t="s">
        <v>47</v>
      </c>
      <c r="E244" s="21" t="s">
        <v>27</v>
      </c>
      <c r="F244" s="24">
        <v>9492992.5399999991</v>
      </c>
      <c r="G244" s="24">
        <v>545985.87</v>
      </c>
      <c r="H244" s="27">
        <v>1431703</v>
      </c>
      <c r="I244" s="27">
        <v>30511.75</v>
      </c>
      <c r="J244" s="23">
        <f t="shared" si="15"/>
        <v>8947006.6699999999</v>
      </c>
      <c r="K244" s="24">
        <f t="shared" si="16"/>
        <v>6.2492057849987042</v>
      </c>
      <c r="L244" s="311">
        <f t="shared" si="17"/>
        <v>5.751462120078734E-2</v>
      </c>
      <c r="M244" s="26">
        <f t="shared" si="18"/>
        <v>46.923005071816597</v>
      </c>
      <c r="N244" s="24">
        <f t="shared" si="19"/>
        <v>311.12579711094901</v>
      </c>
      <c r="O244" s="82"/>
    </row>
    <row r="245" spans="1:15" x14ac:dyDescent="0.25">
      <c r="A245" s="59" t="s">
        <v>117</v>
      </c>
      <c r="B245" s="21">
        <v>924</v>
      </c>
      <c r="C245" s="21" t="s">
        <v>72</v>
      </c>
      <c r="D245" s="21" t="s">
        <v>47</v>
      </c>
      <c r="E245" s="21" t="s">
        <v>27</v>
      </c>
      <c r="F245" s="24">
        <v>18595971.940000001</v>
      </c>
      <c r="G245" s="24">
        <v>713318.99</v>
      </c>
      <c r="H245" s="27">
        <v>3481475.66</v>
      </c>
      <c r="I245" s="27">
        <v>63579.25</v>
      </c>
      <c r="J245" s="23">
        <f t="shared" si="15"/>
        <v>17882652.950000003</v>
      </c>
      <c r="K245" s="24">
        <f t="shared" si="16"/>
        <v>5.136515287313542</v>
      </c>
      <c r="L245" s="311">
        <f t="shared" si="17"/>
        <v>3.8358790403724384E-2</v>
      </c>
      <c r="M245" s="26">
        <f t="shared" si="18"/>
        <v>54.75804857716944</v>
      </c>
      <c r="N245" s="24">
        <f t="shared" si="19"/>
        <v>292.48492141697176</v>
      </c>
      <c r="O245" s="82"/>
    </row>
    <row r="246" spans="1:15" x14ac:dyDescent="0.25">
      <c r="A246" s="59" t="s">
        <v>117</v>
      </c>
      <c r="B246" s="21">
        <v>921</v>
      </c>
      <c r="C246" s="21" t="s">
        <v>70</v>
      </c>
      <c r="D246" s="21" t="s">
        <v>47</v>
      </c>
      <c r="E246" s="21" t="s">
        <v>59</v>
      </c>
      <c r="F246" s="24">
        <v>1366322.94</v>
      </c>
      <c r="G246" s="24">
        <v>108654.62</v>
      </c>
      <c r="H246" s="27">
        <v>167741</v>
      </c>
      <c r="I246" s="27">
        <v>3963.16</v>
      </c>
      <c r="J246" s="23">
        <f t="shared" si="15"/>
        <v>1257668.3199999998</v>
      </c>
      <c r="K246" s="24">
        <f t="shared" si="16"/>
        <v>7.4976798755223815</v>
      </c>
      <c r="L246" s="311">
        <f t="shared" si="17"/>
        <v>7.9523381200055088E-2</v>
      </c>
      <c r="M246" s="26">
        <f t="shared" si="18"/>
        <v>42.325063837947496</v>
      </c>
      <c r="N246" s="24">
        <f t="shared" si="19"/>
        <v>344.75593718144108</v>
      </c>
      <c r="O246" s="82"/>
    </row>
    <row r="247" spans="1:15" x14ac:dyDescent="0.25">
      <c r="A247" s="59" t="s">
        <v>117</v>
      </c>
      <c r="B247" s="21">
        <v>923</v>
      </c>
      <c r="C247" s="21" t="s">
        <v>71</v>
      </c>
      <c r="D247" s="21" t="s">
        <v>47</v>
      </c>
      <c r="E247" s="21" t="s">
        <v>59</v>
      </c>
      <c r="F247" s="24">
        <v>1749050.83</v>
      </c>
      <c r="G247" s="24">
        <v>59347.58</v>
      </c>
      <c r="H247" s="27">
        <v>212624</v>
      </c>
      <c r="I247" s="27">
        <v>5384.42</v>
      </c>
      <c r="J247" s="23">
        <f t="shared" si="15"/>
        <v>1689703.25</v>
      </c>
      <c r="K247" s="24">
        <f t="shared" si="16"/>
        <v>7.9469074516517422</v>
      </c>
      <c r="L247" s="311">
        <f t="shared" si="17"/>
        <v>3.3931306616171927E-2</v>
      </c>
      <c r="M247" s="26">
        <f t="shared" si="18"/>
        <v>39.488747163111348</v>
      </c>
      <c r="N247" s="24">
        <f t="shared" si="19"/>
        <v>324.83551246002355</v>
      </c>
      <c r="O247" s="82"/>
    </row>
    <row r="248" spans="1:15" x14ac:dyDescent="0.25">
      <c r="A248" s="59" t="s">
        <v>117</v>
      </c>
      <c r="B248" s="21">
        <v>924</v>
      </c>
      <c r="C248" s="21" t="s">
        <v>72</v>
      </c>
      <c r="D248" s="21" t="s">
        <v>47</v>
      </c>
      <c r="E248" s="21" t="s">
        <v>59</v>
      </c>
      <c r="F248" s="24">
        <v>3504441.08</v>
      </c>
      <c r="G248" s="24">
        <v>99545.39</v>
      </c>
      <c r="H248" s="27">
        <v>583611.99</v>
      </c>
      <c r="I248" s="27">
        <v>12139.55</v>
      </c>
      <c r="J248" s="23">
        <f t="shared" si="15"/>
        <v>3404895.69</v>
      </c>
      <c r="K248" s="24">
        <f t="shared" si="16"/>
        <v>5.8341770702826032</v>
      </c>
      <c r="L248" s="311">
        <f t="shared" si="17"/>
        <v>2.8405496833178317E-2</v>
      </c>
      <c r="M248" s="26">
        <f t="shared" si="18"/>
        <v>48.075257320081882</v>
      </c>
      <c r="N248" s="24">
        <f t="shared" si="19"/>
        <v>288.67965287016409</v>
      </c>
      <c r="O248" s="82"/>
    </row>
    <row r="249" spans="1:15" x14ac:dyDescent="0.25">
      <c r="A249" s="59" t="s">
        <v>117</v>
      </c>
      <c r="B249" s="21">
        <v>921</v>
      </c>
      <c r="C249" s="21" t="s">
        <v>70</v>
      </c>
      <c r="D249" s="21" t="s">
        <v>47</v>
      </c>
      <c r="E249" s="21" t="s">
        <v>60</v>
      </c>
      <c r="F249" s="24">
        <v>1437850.67</v>
      </c>
      <c r="G249" s="24">
        <v>96348.78</v>
      </c>
      <c r="H249" s="27">
        <v>169640</v>
      </c>
      <c r="I249" s="27">
        <v>4148.91</v>
      </c>
      <c r="J249" s="23">
        <f t="shared" si="15"/>
        <v>1341501.8899999999</v>
      </c>
      <c r="K249" s="24">
        <f t="shared" si="16"/>
        <v>7.9079338009903317</v>
      </c>
      <c r="L249" s="311">
        <f t="shared" si="17"/>
        <v>6.7008891820455885E-2</v>
      </c>
      <c r="M249" s="26">
        <f t="shared" si="18"/>
        <v>40.887847651551851</v>
      </c>
      <c r="N249" s="24">
        <f t="shared" si="19"/>
        <v>346.56106543646405</v>
      </c>
      <c r="O249" s="82"/>
    </row>
    <row r="250" spans="1:15" x14ac:dyDescent="0.25">
      <c r="A250" s="59" t="s">
        <v>117</v>
      </c>
      <c r="B250" s="21">
        <v>923</v>
      </c>
      <c r="C250" s="21" t="s">
        <v>71</v>
      </c>
      <c r="D250" s="21" t="s">
        <v>47</v>
      </c>
      <c r="E250" s="21" t="s">
        <v>60</v>
      </c>
      <c r="F250" s="24">
        <v>1930062.66</v>
      </c>
      <c r="G250" s="24">
        <v>55605.37</v>
      </c>
      <c r="H250" s="27">
        <v>207580</v>
      </c>
      <c r="I250" s="27">
        <v>5850.13</v>
      </c>
      <c r="J250" s="23">
        <f t="shared" si="15"/>
        <v>1874457.2899999998</v>
      </c>
      <c r="K250" s="24">
        <f t="shared" si="16"/>
        <v>9.030047644281721</v>
      </c>
      <c r="L250" s="311">
        <f t="shared" si="17"/>
        <v>2.8810137179691362E-2</v>
      </c>
      <c r="M250" s="26">
        <f t="shared" si="18"/>
        <v>35.482972173267946</v>
      </c>
      <c r="N250" s="24">
        <f t="shared" si="19"/>
        <v>329.91790951654065</v>
      </c>
      <c r="O250" s="82"/>
    </row>
    <row r="251" spans="1:15" x14ac:dyDescent="0.25">
      <c r="A251" s="59" t="s">
        <v>117</v>
      </c>
      <c r="B251" s="21">
        <v>924</v>
      </c>
      <c r="C251" s="21" t="s">
        <v>72</v>
      </c>
      <c r="D251" s="21" t="s">
        <v>47</v>
      </c>
      <c r="E251" s="21" t="s">
        <v>60</v>
      </c>
      <c r="F251" s="24">
        <v>3716794.98</v>
      </c>
      <c r="G251" s="24">
        <v>97434.55</v>
      </c>
      <c r="H251" s="27">
        <v>569015.09</v>
      </c>
      <c r="I251" s="27">
        <v>12755.87</v>
      </c>
      <c r="J251" s="23">
        <f t="shared" si="15"/>
        <v>3619360.43</v>
      </c>
      <c r="K251" s="24">
        <f t="shared" si="16"/>
        <v>6.3607459513947164</v>
      </c>
      <c r="L251" s="311">
        <f t="shared" si="17"/>
        <v>2.6214668961912987E-2</v>
      </c>
      <c r="M251" s="26">
        <f t="shared" si="18"/>
        <v>44.608097291678256</v>
      </c>
      <c r="N251" s="24">
        <f t="shared" si="19"/>
        <v>291.37918307414543</v>
      </c>
      <c r="O251" s="82"/>
    </row>
    <row r="252" spans="1:15" x14ac:dyDescent="0.25">
      <c r="A252" s="59" t="s">
        <v>117</v>
      </c>
      <c r="B252" s="21">
        <v>904</v>
      </c>
      <c r="C252" s="21" t="s">
        <v>67</v>
      </c>
      <c r="D252" s="21" t="s">
        <v>106</v>
      </c>
      <c r="E252" s="21" t="s">
        <v>27</v>
      </c>
      <c r="F252" s="24">
        <v>7002367.4299999997</v>
      </c>
      <c r="G252" s="24">
        <v>372088.27</v>
      </c>
      <c r="H252" s="27">
        <v>472397.86</v>
      </c>
      <c r="I252" s="27">
        <v>21414.81</v>
      </c>
      <c r="J252" s="23">
        <f t="shared" si="15"/>
        <v>6630279.1600000001</v>
      </c>
      <c r="K252" s="24">
        <f t="shared" si="16"/>
        <v>14.035370863026349</v>
      </c>
      <c r="L252" s="311">
        <f t="shared" si="17"/>
        <v>5.3137495814040717E-2</v>
      </c>
      <c r="M252" s="26">
        <f t="shared" si="18"/>
        <v>22.059400013355241</v>
      </c>
      <c r="N252" s="24">
        <f t="shared" si="19"/>
        <v>326.98713787327551</v>
      </c>
      <c r="O252" s="82"/>
    </row>
    <row r="253" spans="1:15" x14ac:dyDescent="0.25">
      <c r="A253" s="59" t="s">
        <v>117</v>
      </c>
      <c r="B253" s="21">
        <v>904</v>
      </c>
      <c r="C253" s="21" t="s">
        <v>67</v>
      </c>
      <c r="D253" s="21" t="s">
        <v>106</v>
      </c>
      <c r="E253" s="21" t="s">
        <v>59</v>
      </c>
      <c r="F253" s="24">
        <v>1091908.21</v>
      </c>
      <c r="G253" s="24">
        <v>18289.52</v>
      </c>
      <c r="H253" s="27">
        <v>54896.27</v>
      </c>
      <c r="I253" s="27">
        <v>3319.34</v>
      </c>
      <c r="J253" s="23">
        <f t="shared" si="15"/>
        <v>1073618.69</v>
      </c>
      <c r="K253" s="24">
        <f t="shared" si="16"/>
        <v>19.557224744049094</v>
      </c>
      <c r="L253" s="311">
        <f t="shared" si="17"/>
        <v>1.6750052644077106E-2</v>
      </c>
      <c r="M253" s="26">
        <f t="shared" si="18"/>
        <v>16.538308820428156</v>
      </c>
      <c r="N253" s="24">
        <f t="shared" si="19"/>
        <v>328.95340941271456</v>
      </c>
      <c r="O253" s="82"/>
    </row>
    <row r="254" spans="1:15" x14ac:dyDescent="0.25">
      <c r="A254" s="59" t="s">
        <v>117</v>
      </c>
      <c r="B254" s="21">
        <v>904</v>
      </c>
      <c r="C254" s="21" t="s">
        <v>67</v>
      </c>
      <c r="D254" s="21" t="s">
        <v>106</v>
      </c>
      <c r="E254" s="21" t="s">
        <v>60</v>
      </c>
      <c r="F254" s="24">
        <v>850294.34</v>
      </c>
      <c r="G254" s="24">
        <v>17668.080000000002</v>
      </c>
      <c r="H254" s="27">
        <v>50097.25</v>
      </c>
      <c r="I254" s="27">
        <v>2691.33</v>
      </c>
      <c r="J254" s="23">
        <f t="shared" si="15"/>
        <v>832626.26</v>
      </c>
      <c r="K254" s="24">
        <f t="shared" si="16"/>
        <v>16.620198913113992</v>
      </c>
      <c r="L254" s="311">
        <f t="shared" si="17"/>
        <v>2.0778781145361972E-2</v>
      </c>
      <c r="M254" s="26">
        <f t="shared" si="18"/>
        <v>18.614309653591349</v>
      </c>
      <c r="N254" s="24">
        <f t="shared" si="19"/>
        <v>315.93834275246809</v>
      </c>
      <c r="O254" s="82"/>
    </row>
    <row r="255" spans="1:15" x14ac:dyDescent="0.25">
      <c r="A255" s="59" t="s">
        <v>117</v>
      </c>
      <c r="B255" s="21">
        <v>903</v>
      </c>
      <c r="C255" s="21" t="s">
        <v>68</v>
      </c>
      <c r="D255" s="21" t="s">
        <v>106</v>
      </c>
      <c r="E255" s="21" t="s">
        <v>59</v>
      </c>
      <c r="F255" s="24">
        <v>370710</v>
      </c>
      <c r="G255" s="24">
        <v>10735</v>
      </c>
      <c r="H255" s="27">
        <v>21870</v>
      </c>
      <c r="I255" s="27">
        <v>1321.6</v>
      </c>
      <c r="J255" s="23">
        <f t="shared" si="15"/>
        <v>359975</v>
      </c>
      <c r="K255" s="24">
        <f t="shared" si="16"/>
        <v>16.459762231367169</v>
      </c>
      <c r="L255" s="311">
        <f t="shared" si="17"/>
        <v>2.8957945563917887E-2</v>
      </c>
      <c r="M255" s="26">
        <f t="shared" si="18"/>
        <v>16.548123486682808</v>
      </c>
      <c r="N255" s="24">
        <f t="shared" si="19"/>
        <v>280.50090799031477</v>
      </c>
      <c r="O255" s="82"/>
    </row>
    <row r="256" spans="1:15" x14ac:dyDescent="0.25">
      <c r="A256" s="59" t="s">
        <v>117</v>
      </c>
      <c r="B256" s="21">
        <v>903</v>
      </c>
      <c r="C256" s="21" t="s">
        <v>68</v>
      </c>
      <c r="D256" s="21" t="s">
        <v>106</v>
      </c>
      <c r="E256" s="21" t="s">
        <v>60</v>
      </c>
      <c r="F256" s="24">
        <v>383949</v>
      </c>
      <c r="G256" s="24">
        <v>10421</v>
      </c>
      <c r="H256" s="27">
        <v>21231</v>
      </c>
      <c r="I256" s="27">
        <v>1351.4</v>
      </c>
      <c r="J256" s="23">
        <f t="shared" si="15"/>
        <v>373528</v>
      </c>
      <c r="K256" s="24">
        <f t="shared" si="16"/>
        <v>17.593518911026329</v>
      </c>
      <c r="L256" s="311">
        <f t="shared" si="17"/>
        <v>2.7141625580480742E-2</v>
      </c>
      <c r="M256" s="26">
        <f t="shared" si="18"/>
        <v>15.710374426520644</v>
      </c>
      <c r="N256" s="24">
        <f t="shared" si="19"/>
        <v>284.1120319668492</v>
      </c>
      <c r="O256" s="82"/>
    </row>
    <row r="257" spans="1:15" x14ac:dyDescent="0.25">
      <c r="A257" s="59" t="s">
        <v>117</v>
      </c>
      <c r="B257" s="21">
        <v>903</v>
      </c>
      <c r="C257" s="21" t="s">
        <v>68</v>
      </c>
      <c r="D257" s="21" t="s">
        <v>106</v>
      </c>
      <c r="E257" s="21" t="s">
        <v>27</v>
      </c>
      <c r="F257" s="24">
        <v>1780808</v>
      </c>
      <c r="G257" s="24">
        <v>53159</v>
      </c>
      <c r="H257" s="27">
        <v>108304</v>
      </c>
      <c r="I257" s="27">
        <v>6879.6</v>
      </c>
      <c r="J257" s="23">
        <f t="shared" si="15"/>
        <v>1727649</v>
      </c>
      <c r="K257" s="24">
        <f t="shared" si="16"/>
        <v>15.951848500517062</v>
      </c>
      <c r="L257" s="311">
        <f t="shared" si="17"/>
        <v>2.985105637440982E-2</v>
      </c>
      <c r="M257" s="26">
        <f t="shared" si="18"/>
        <v>15.742775742775741</v>
      </c>
      <c r="N257" s="24">
        <f t="shared" si="19"/>
        <v>258.85342171056453</v>
      </c>
      <c r="O257" s="82"/>
    </row>
    <row r="258" spans="1:15" x14ac:dyDescent="0.25">
      <c r="A258" s="59" t="s">
        <v>117</v>
      </c>
      <c r="B258" s="21">
        <v>901</v>
      </c>
      <c r="C258" s="21" t="s">
        <v>20</v>
      </c>
      <c r="D258" s="21" t="s">
        <v>107</v>
      </c>
      <c r="E258" s="21" t="s">
        <v>27</v>
      </c>
      <c r="F258" s="24">
        <v>34378105.439999998</v>
      </c>
      <c r="G258" s="24">
        <v>3689729.02</v>
      </c>
      <c r="H258" s="27">
        <v>4436599</v>
      </c>
      <c r="I258" s="27">
        <v>26968.65</v>
      </c>
      <c r="J258" s="23">
        <f t="shared" si="15"/>
        <v>30688376.419999998</v>
      </c>
      <c r="K258" s="24">
        <f t="shared" si="16"/>
        <v>6.9170949233861334</v>
      </c>
      <c r="L258" s="311">
        <f t="shared" si="17"/>
        <v>0.10732787548283232</v>
      </c>
      <c r="M258" s="26">
        <f t="shared" si="18"/>
        <v>164.50949528433941</v>
      </c>
      <c r="N258" s="24">
        <f t="shared" si="19"/>
        <v>1274.7432830341895</v>
      </c>
      <c r="O258" s="82"/>
    </row>
    <row r="259" spans="1:15" x14ac:dyDescent="0.25">
      <c r="A259" s="59" t="s">
        <v>117</v>
      </c>
      <c r="B259" s="21">
        <v>902</v>
      </c>
      <c r="C259" s="21" t="s">
        <v>21</v>
      </c>
      <c r="D259" s="21" t="s">
        <v>107</v>
      </c>
      <c r="E259" s="21" t="s">
        <v>27</v>
      </c>
      <c r="F259" s="24">
        <v>36004227.719999999</v>
      </c>
      <c r="G259" s="24">
        <v>5865471.6600000001</v>
      </c>
      <c r="H259" s="27">
        <v>6844402</v>
      </c>
      <c r="I259" s="27">
        <v>30712.37</v>
      </c>
      <c r="J259" s="23">
        <f t="shared" si="15"/>
        <v>30138756.059999999</v>
      </c>
      <c r="K259" s="24">
        <f t="shared" si="16"/>
        <v>4.4034169909949767</v>
      </c>
      <c r="L259" s="311">
        <f t="shared" si="17"/>
        <v>0.16291063665120048</v>
      </c>
      <c r="M259" s="26">
        <f t="shared" si="18"/>
        <v>222.854895275096</v>
      </c>
      <c r="N259" s="24">
        <f t="shared" si="19"/>
        <v>1172.3037889944671</v>
      </c>
      <c r="O259" s="82"/>
    </row>
    <row r="260" spans="1:15" x14ac:dyDescent="0.25">
      <c r="A260" s="59" t="s">
        <v>117</v>
      </c>
      <c r="B260" s="21">
        <v>901</v>
      </c>
      <c r="C260" s="21" t="s">
        <v>20</v>
      </c>
      <c r="D260" s="21" t="s">
        <v>107</v>
      </c>
      <c r="E260" s="21" t="s">
        <v>59</v>
      </c>
      <c r="F260" s="24">
        <v>6888364.6299999999</v>
      </c>
      <c r="G260" s="24">
        <v>732659.96</v>
      </c>
      <c r="H260" s="27">
        <v>880964</v>
      </c>
      <c r="I260" s="27">
        <v>5385.7</v>
      </c>
      <c r="J260" s="23">
        <f t="shared" ref="J260:J287" si="20">F260-G260</f>
        <v>6155704.6699999999</v>
      </c>
      <c r="K260" s="24">
        <f t="shared" ref="K260:K287" si="21">J260/H260</f>
        <v>6.9874644934412755</v>
      </c>
      <c r="L260" s="311">
        <f t="shared" ref="L260:L287" si="22">G260/F260</f>
        <v>0.10636195952942752</v>
      </c>
      <c r="M260" s="26">
        <f t="shared" ref="M260:M287" si="23">H260/I260</f>
        <v>163.57465139164825</v>
      </c>
      <c r="N260" s="24">
        <f t="shared" ref="N260:N287" si="24">F260/I260</f>
        <v>1279.0100878251667</v>
      </c>
      <c r="O260" s="82"/>
    </row>
    <row r="261" spans="1:15" x14ac:dyDescent="0.25">
      <c r="A261" s="59" t="s">
        <v>117</v>
      </c>
      <c r="B261" s="21">
        <v>902</v>
      </c>
      <c r="C261" s="21" t="s">
        <v>21</v>
      </c>
      <c r="D261" s="21" t="s">
        <v>107</v>
      </c>
      <c r="E261" s="21" t="s">
        <v>59</v>
      </c>
      <c r="F261" s="24">
        <v>7259610.8799999999</v>
      </c>
      <c r="G261" s="24">
        <v>1026062.18</v>
      </c>
      <c r="H261" s="27">
        <v>1197309</v>
      </c>
      <c r="I261" s="27">
        <v>6129.07</v>
      </c>
      <c r="J261" s="23">
        <f t="shared" si="20"/>
        <v>6233548.7000000002</v>
      </c>
      <c r="K261" s="24">
        <f t="shared" si="21"/>
        <v>5.206299042268955</v>
      </c>
      <c r="L261" s="311">
        <f t="shared" si="22"/>
        <v>0.14133845421753516</v>
      </c>
      <c r="M261" s="26">
        <f t="shared" si="23"/>
        <v>195.34921284958403</v>
      </c>
      <c r="N261" s="24">
        <f t="shared" si="24"/>
        <v>1184.4555340369745</v>
      </c>
      <c r="O261" s="82"/>
    </row>
    <row r="262" spans="1:15" x14ac:dyDescent="0.25">
      <c r="A262" s="59" t="s">
        <v>117</v>
      </c>
      <c r="B262" s="21">
        <v>901</v>
      </c>
      <c r="C262" s="21" t="s">
        <v>20</v>
      </c>
      <c r="D262" s="21" t="s">
        <v>107</v>
      </c>
      <c r="E262" s="21" t="s">
        <v>60</v>
      </c>
      <c r="F262" s="24">
        <v>7709824.0899999999</v>
      </c>
      <c r="G262" s="24">
        <v>864917.55</v>
      </c>
      <c r="H262" s="27">
        <v>1039993</v>
      </c>
      <c r="I262" s="27">
        <v>6032.04</v>
      </c>
      <c r="J262" s="23">
        <f t="shared" si="20"/>
        <v>6844906.54</v>
      </c>
      <c r="K262" s="24">
        <f t="shared" si="21"/>
        <v>6.5816852036504097</v>
      </c>
      <c r="L262" s="311">
        <f t="shared" si="22"/>
        <v>0.11218382415778309</v>
      </c>
      <c r="M262" s="26">
        <f t="shared" si="23"/>
        <v>172.41148931373135</v>
      </c>
      <c r="N262" s="24">
        <f t="shared" si="24"/>
        <v>1278.1453853091159</v>
      </c>
      <c r="O262" s="82"/>
    </row>
    <row r="263" spans="1:15" x14ac:dyDescent="0.25">
      <c r="A263" s="59" t="s">
        <v>117</v>
      </c>
      <c r="B263" s="21">
        <v>902</v>
      </c>
      <c r="C263" s="21" t="s">
        <v>21</v>
      </c>
      <c r="D263" s="21" t="s">
        <v>107</v>
      </c>
      <c r="E263" s="21" t="s">
        <v>60</v>
      </c>
      <c r="F263" s="24">
        <v>8125243.6200000001</v>
      </c>
      <c r="G263" s="24">
        <v>934038.64</v>
      </c>
      <c r="H263" s="27">
        <v>1089927</v>
      </c>
      <c r="I263" s="27">
        <v>6865.45</v>
      </c>
      <c r="J263" s="23">
        <f t="shared" si="20"/>
        <v>7191204.9800000004</v>
      </c>
      <c r="K263" s="24">
        <f t="shared" si="21"/>
        <v>6.5978776376766524</v>
      </c>
      <c r="L263" s="311">
        <f t="shared" si="22"/>
        <v>0.11495515503078541</v>
      </c>
      <c r="M263" s="26">
        <f t="shared" si="23"/>
        <v>158.75536199375134</v>
      </c>
      <c r="N263" s="24">
        <f t="shared" si="24"/>
        <v>1183.4976032161039</v>
      </c>
      <c r="O263" s="82"/>
    </row>
    <row r="264" spans="1:15" x14ac:dyDescent="0.25">
      <c r="A264" s="59" t="s">
        <v>117</v>
      </c>
      <c r="B264" s="21">
        <v>888</v>
      </c>
      <c r="C264" s="21" t="s">
        <v>108</v>
      </c>
      <c r="D264" s="21" t="s">
        <v>22</v>
      </c>
      <c r="E264" s="21" t="s">
        <v>27</v>
      </c>
      <c r="F264" s="24">
        <v>13491757.41</v>
      </c>
      <c r="G264" s="24">
        <v>340692.4</v>
      </c>
      <c r="H264" s="27">
        <v>110475.2</v>
      </c>
      <c r="I264" s="27">
        <v>1762.86</v>
      </c>
      <c r="J264" s="23">
        <f t="shared" si="20"/>
        <v>13151065.01</v>
      </c>
      <c r="K264" s="24">
        <f t="shared" si="21"/>
        <v>119.04087985357801</v>
      </c>
      <c r="L264" s="311">
        <f t="shared" si="22"/>
        <v>2.5251891925323317E-2</v>
      </c>
      <c r="M264" s="26">
        <f t="shared" si="23"/>
        <v>62.668164233121182</v>
      </c>
      <c r="N264" s="24">
        <f t="shared" si="24"/>
        <v>7653.3345869779796</v>
      </c>
      <c r="O264" s="82"/>
    </row>
    <row r="265" spans="1:15" x14ac:dyDescent="0.25">
      <c r="A265" s="59" t="s">
        <v>117</v>
      </c>
      <c r="B265" s="21">
        <v>889</v>
      </c>
      <c r="C265" s="21" t="s">
        <v>108</v>
      </c>
      <c r="D265" s="21" t="s">
        <v>22</v>
      </c>
      <c r="E265" s="21" t="s">
        <v>59</v>
      </c>
      <c r="F265" s="24">
        <v>742494.12</v>
      </c>
      <c r="G265" s="24">
        <v>18749.38</v>
      </c>
      <c r="H265" s="27">
        <v>6079.8</v>
      </c>
      <c r="I265" s="27">
        <v>11.31</v>
      </c>
      <c r="J265" s="23">
        <f t="shared" si="20"/>
        <v>723744.74</v>
      </c>
      <c r="K265" s="24">
        <f t="shared" si="21"/>
        <v>119.04087963419849</v>
      </c>
      <c r="L265" s="311">
        <f t="shared" si="22"/>
        <v>2.5251890210255135E-2</v>
      </c>
      <c r="M265" s="26">
        <f t="shared" si="23"/>
        <v>537.55968169761275</v>
      </c>
      <c r="N265" s="24">
        <f t="shared" si="24"/>
        <v>65649.347480106095</v>
      </c>
      <c r="O265" s="82"/>
    </row>
    <row r="266" spans="1:15" x14ac:dyDescent="0.25">
      <c r="A266" s="59" t="s">
        <v>117</v>
      </c>
      <c r="B266" s="21">
        <v>890</v>
      </c>
      <c r="C266" s="21" t="s">
        <v>108</v>
      </c>
      <c r="D266" s="21" t="s">
        <v>22</v>
      </c>
      <c r="E266" s="21" t="s">
        <v>60</v>
      </c>
      <c r="F266" s="24">
        <v>1320632.74</v>
      </c>
      <c r="G266" s="24">
        <v>33348.480000000003</v>
      </c>
      <c r="H266" s="27">
        <v>10813.8</v>
      </c>
      <c r="I266" s="27">
        <v>18.260000000000002</v>
      </c>
      <c r="J266" s="23">
        <f t="shared" si="20"/>
        <v>1287284.26</v>
      </c>
      <c r="K266" s="24">
        <f t="shared" si="21"/>
        <v>119.04087924688824</v>
      </c>
      <c r="L266" s="311">
        <f t="shared" si="22"/>
        <v>2.5251895542132329E-2</v>
      </c>
      <c r="M266" s="26">
        <f t="shared" si="23"/>
        <v>592.2124863088718</v>
      </c>
      <c r="N266" s="24">
        <f t="shared" si="24"/>
        <v>72323.808324205907</v>
      </c>
      <c r="O266" s="82"/>
    </row>
    <row r="267" spans="1:15" x14ac:dyDescent="0.25">
      <c r="A267" s="59" t="s">
        <v>9</v>
      </c>
      <c r="C267" s="21" t="s">
        <v>109</v>
      </c>
      <c r="D267" s="21" t="s">
        <v>82</v>
      </c>
      <c r="E267" s="21" t="s">
        <v>27</v>
      </c>
      <c r="F267" s="24">
        <v>1876521</v>
      </c>
      <c r="G267" s="24">
        <v>81230</v>
      </c>
      <c r="H267" s="27">
        <v>37586</v>
      </c>
      <c r="I267" s="27">
        <v>18848</v>
      </c>
      <c r="J267" s="23">
        <f t="shared" si="20"/>
        <v>1795291</v>
      </c>
      <c r="K267" s="24">
        <f t="shared" si="21"/>
        <v>47.764885861757037</v>
      </c>
      <c r="L267" s="311">
        <f t="shared" si="22"/>
        <v>4.3287551804642742E-2</v>
      </c>
      <c r="M267" s="26">
        <f t="shared" si="23"/>
        <v>1.9941638370118846</v>
      </c>
      <c r="N267" s="24">
        <f t="shared" si="24"/>
        <v>99.560749151103565</v>
      </c>
      <c r="O267" s="82"/>
    </row>
    <row r="268" spans="1:15" x14ac:dyDescent="0.25">
      <c r="A268" s="59" t="s">
        <v>9</v>
      </c>
      <c r="C268" s="21" t="s">
        <v>109</v>
      </c>
      <c r="D268" s="21" t="s">
        <v>82</v>
      </c>
      <c r="E268" s="21" t="s">
        <v>59</v>
      </c>
      <c r="F268" s="24">
        <v>87912</v>
      </c>
      <c r="G268" s="24">
        <v>4273</v>
      </c>
      <c r="H268" s="27">
        <v>1977</v>
      </c>
      <c r="I268" s="27">
        <v>883</v>
      </c>
      <c r="J268" s="23">
        <f t="shared" si="20"/>
        <v>83639</v>
      </c>
      <c r="K268" s="24">
        <f t="shared" si="21"/>
        <v>42.306019221041986</v>
      </c>
      <c r="L268" s="311">
        <f t="shared" si="22"/>
        <v>4.8605423605423609E-2</v>
      </c>
      <c r="M268" s="26">
        <f t="shared" si="23"/>
        <v>2.2389580973952437</v>
      </c>
      <c r="N268" s="24">
        <f t="shared" si="24"/>
        <v>99.560588901472258</v>
      </c>
      <c r="O268" s="82"/>
    </row>
    <row r="269" spans="1:15" x14ac:dyDescent="0.25">
      <c r="A269" s="59" t="s">
        <v>8</v>
      </c>
      <c r="C269" s="21" t="s">
        <v>30</v>
      </c>
      <c r="D269" s="21" t="s">
        <v>77</v>
      </c>
      <c r="E269" s="21" t="s">
        <v>27</v>
      </c>
      <c r="F269" s="24">
        <v>4567156.1500000004</v>
      </c>
      <c r="G269" s="24">
        <v>323825.84000000003</v>
      </c>
      <c r="H269" s="27">
        <v>119226</v>
      </c>
      <c r="I269" s="27">
        <v>38563.839999999997</v>
      </c>
      <c r="J269" s="23">
        <f t="shared" si="20"/>
        <v>4243330.3100000005</v>
      </c>
      <c r="K269" s="24">
        <f t="shared" si="21"/>
        <v>35.590645580661942</v>
      </c>
      <c r="L269" s="311">
        <f t="shared" si="22"/>
        <v>7.090316804692566E-2</v>
      </c>
      <c r="M269" s="26">
        <f t="shared" si="23"/>
        <v>3.0916526984864579</v>
      </c>
      <c r="N269" s="24">
        <f t="shared" si="24"/>
        <v>118.43105224998342</v>
      </c>
      <c r="O269" s="82"/>
    </row>
    <row r="270" spans="1:15" x14ac:dyDescent="0.25">
      <c r="A270" s="59" t="s">
        <v>8</v>
      </c>
      <c r="C270" s="21" t="s">
        <v>30</v>
      </c>
      <c r="D270" s="21" t="s">
        <v>77</v>
      </c>
      <c r="E270" s="21" t="s">
        <v>59</v>
      </c>
      <c r="F270" s="24">
        <v>807499.63</v>
      </c>
      <c r="G270" s="24">
        <v>56333.95</v>
      </c>
      <c r="H270" s="27">
        <v>20741</v>
      </c>
      <c r="I270" s="27">
        <v>6818.31</v>
      </c>
      <c r="J270" s="23">
        <f t="shared" si="20"/>
        <v>751165.68</v>
      </c>
      <c r="K270" s="24">
        <f t="shared" si="21"/>
        <v>36.216464008485609</v>
      </c>
      <c r="L270" s="311">
        <f t="shared" si="22"/>
        <v>6.9763437538664874E-2</v>
      </c>
      <c r="M270" s="26">
        <f t="shared" si="23"/>
        <v>3.0419561445578154</v>
      </c>
      <c r="N270" s="24">
        <f t="shared" si="24"/>
        <v>118.43105256287848</v>
      </c>
      <c r="O270" s="82"/>
    </row>
    <row r="271" spans="1:15" x14ac:dyDescent="0.25">
      <c r="A271" s="59" t="s">
        <v>8</v>
      </c>
      <c r="C271" s="21" t="s">
        <v>30</v>
      </c>
      <c r="D271" s="21" t="s">
        <v>77</v>
      </c>
      <c r="E271" s="21" t="s">
        <v>60</v>
      </c>
      <c r="F271" s="24">
        <v>796419.22</v>
      </c>
      <c r="G271" s="24">
        <v>50190.21</v>
      </c>
      <c r="H271" s="27">
        <v>18479</v>
      </c>
      <c r="I271" s="27">
        <v>6724.75</v>
      </c>
      <c r="J271" s="23">
        <f t="shared" si="20"/>
        <v>746229.01</v>
      </c>
      <c r="K271" s="24">
        <f t="shared" si="21"/>
        <v>40.382542886519836</v>
      </c>
      <c r="L271" s="311">
        <f t="shared" si="22"/>
        <v>6.3019837718130411E-2</v>
      </c>
      <c r="M271" s="26">
        <f t="shared" si="23"/>
        <v>2.7479088441949515</v>
      </c>
      <c r="N271" s="24">
        <f t="shared" si="24"/>
        <v>118.43105245548161</v>
      </c>
      <c r="O271" s="82"/>
    </row>
    <row r="272" spans="1:15" x14ac:dyDescent="0.25">
      <c r="A272" s="59" t="s">
        <v>61</v>
      </c>
      <c r="C272" s="21" t="s">
        <v>78</v>
      </c>
      <c r="D272" s="21" t="s">
        <v>77</v>
      </c>
      <c r="E272" s="21" t="s">
        <v>27</v>
      </c>
      <c r="F272" s="24">
        <v>1528367.06</v>
      </c>
      <c r="G272" s="24">
        <v>120211.88</v>
      </c>
      <c r="H272" s="27">
        <v>47218</v>
      </c>
      <c r="I272" s="27">
        <v>15266.48</v>
      </c>
      <c r="J272" s="23">
        <f t="shared" si="20"/>
        <v>1408155.1800000002</v>
      </c>
      <c r="K272" s="24">
        <f t="shared" si="21"/>
        <v>29.822423228429841</v>
      </c>
      <c r="L272" s="311">
        <f t="shared" si="22"/>
        <v>7.8653801921117039E-2</v>
      </c>
      <c r="M272" s="26">
        <f t="shared" si="23"/>
        <v>3.0929199134312562</v>
      </c>
      <c r="N272" s="24">
        <f t="shared" si="24"/>
        <v>100.1126035602182</v>
      </c>
      <c r="O272" s="82"/>
    </row>
    <row r="273" spans="1:15" x14ac:dyDescent="0.25">
      <c r="A273" s="59" t="s">
        <v>61</v>
      </c>
      <c r="C273" s="21" t="s">
        <v>78</v>
      </c>
      <c r="D273" s="21" t="s">
        <v>77</v>
      </c>
      <c r="E273" s="21" t="s">
        <v>59</v>
      </c>
      <c r="F273" s="24">
        <v>126777.60000000001</v>
      </c>
      <c r="G273" s="24">
        <v>9971.5400000000009</v>
      </c>
      <c r="H273" s="27">
        <v>3956</v>
      </c>
      <c r="I273" s="27">
        <v>1266.3499999999999</v>
      </c>
      <c r="J273" s="23">
        <f t="shared" si="20"/>
        <v>116806.06</v>
      </c>
      <c r="K273" s="24">
        <f t="shared" si="21"/>
        <v>29.526304347826088</v>
      </c>
      <c r="L273" s="311">
        <f t="shared" si="22"/>
        <v>7.8653800040385691E-2</v>
      </c>
      <c r="M273" s="26">
        <f t="shared" si="23"/>
        <v>3.1239388794567065</v>
      </c>
      <c r="N273" s="24">
        <f t="shared" si="24"/>
        <v>100.11260709914322</v>
      </c>
      <c r="O273" s="82"/>
    </row>
    <row r="274" spans="1:15" x14ac:dyDescent="0.25">
      <c r="A274" s="59" t="s">
        <v>61</v>
      </c>
      <c r="C274" s="21" t="s">
        <v>78</v>
      </c>
      <c r="D274" s="21" t="s">
        <v>77</v>
      </c>
      <c r="E274" s="21" t="s">
        <v>60</v>
      </c>
      <c r="F274" s="24">
        <v>79431.34</v>
      </c>
      <c r="G274" s="24">
        <v>6247.58</v>
      </c>
      <c r="H274" s="27">
        <v>2251</v>
      </c>
      <c r="I274" s="27">
        <v>793.42</v>
      </c>
      <c r="J274" s="23">
        <f t="shared" si="20"/>
        <v>73183.759999999995</v>
      </c>
      <c r="K274" s="24">
        <f t="shared" si="21"/>
        <v>32.511665926254999</v>
      </c>
      <c r="L274" s="311">
        <f t="shared" si="22"/>
        <v>7.8653841166471575E-2</v>
      </c>
      <c r="M274" s="26">
        <f t="shared" si="23"/>
        <v>2.837085024325074</v>
      </c>
      <c r="N274" s="24">
        <f t="shared" si="24"/>
        <v>100.11260114441279</v>
      </c>
      <c r="O274" s="82"/>
    </row>
    <row r="275" spans="1:15" x14ac:dyDescent="0.25">
      <c r="A275" s="59" t="s">
        <v>28</v>
      </c>
      <c r="C275" s="21" t="s">
        <v>26</v>
      </c>
      <c r="D275" s="21" t="s">
        <v>77</v>
      </c>
      <c r="E275" s="21" t="s">
        <v>27</v>
      </c>
      <c r="F275" s="24">
        <v>8351801.3499999996</v>
      </c>
      <c r="G275" s="24">
        <v>514975</v>
      </c>
      <c r="H275" s="27">
        <v>133016</v>
      </c>
      <c r="I275" s="27">
        <v>51885</v>
      </c>
      <c r="J275" s="23">
        <f t="shared" si="20"/>
        <v>7836826.3499999996</v>
      </c>
      <c r="K275" s="24">
        <f t="shared" si="21"/>
        <v>58.916418701509592</v>
      </c>
      <c r="L275" s="311">
        <f t="shared" si="22"/>
        <v>6.1660350673929762E-2</v>
      </c>
      <c r="M275" s="26">
        <f t="shared" si="23"/>
        <v>2.5636696540425943</v>
      </c>
      <c r="N275" s="24">
        <f t="shared" si="24"/>
        <v>160.96755035173942</v>
      </c>
      <c r="O275" s="82"/>
    </row>
    <row r="276" spans="1:15" x14ac:dyDescent="0.25">
      <c r="A276" s="59" t="s">
        <v>28</v>
      </c>
      <c r="C276" s="21" t="s">
        <v>26</v>
      </c>
      <c r="D276" s="21" t="s">
        <v>77</v>
      </c>
      <c r="E276" s="21" t="s">
        <v>59</v>
      </c>
      <c r="F276" s="24">
        <v>342665.65</v>
      </c>
      <c r="G276" s="24">
        <v>57709</v>
      </c>
      <c r="H276" s="27">
        <v>14906</v>
      </c>
      <c r="I276" s="27">
        <v>5505</v>
      </c>
      <c r="J276" s="23">
        <f t="shared" si="20"/>
        <v>284956.65000000002</v>
      </c>
      <c r="K276" s="24">
        <f t="shared" si="21"/>
        <v>19.116909298269157</v>
      </c>
      <c r="L276" s="311">
        <f t="shared" si="22"/>
        <v>0.16841197826511059</v>
      </c>
      <c r="M276" s="26">
        <f t="shared" si="23"/>
        <v>2.7077202543142596</v>
      </c>
      <c r="N276" s="24">
        <f t="shared" si="24"/>
        <v>62.246257947320622</v>
      </c>
      <c r="O276" s="82"/>
    </row>
    <row r="277" spans="1:15" x14ac:dyDescent="0.25">
      <c r="A277" s="59" t="s">
        <v>117</v>
      </c>
      <c r="C277" s="21" t="s">
        <v>110</v>
      </c>
      <c r="D277" s="21" t="s">
        <v>77</v>
      </c>
      <c r="E277" s="21" t="s">
        <v>27</v>
      </c>
      <c r="F277" s="24">
        <v>1062231.19</v>
      </c>
      <c r="G277" s="24">
        <v>15245.44</v>
      </c>
      <c r="H277" s="27">
        <v>50560</v>
      </c>
      <c r="I277" s="27">
        <v>9958</v>
      </c>
      <c r="J277" s="23">
        <f t="shared" si="20"/>
        <v>1046985.75</v>
      </c>
      <c r="K277" s="24">
        <f t="shared" si="21"/>
        <v>20.707787776898734</v>
      </c>
      <c r="L277" s="311">
        <f t="shared" si="22"/>
        <v>1.4352280504962392E-2</v>
      </c>
      <c r="M277" s="26">
        <f t="shared" si="23"/>
        <v>5.0773247640088375</v>
      </c>
      <c r="N277" s="24">
        <f t="shared" si="24"/>
        <v>106.67113777867041</v>
      </c>
      <c r="O277" s="82"/>
    </row>
    <row r="278" spans="1:15" x14ac:dyDescent="0.25">
      <c r="A278" s="59" t="s">
        <v>117</v>
      </c>
      <c r="C278" s="21" t="s">
        <v>110</v>
      </c>
      <c r="D278" s="21" t="s">
        <v>77</v>
      </c>
      <c r="E278" s="21" t="s">
        <v>59</v>
      </c>
      <c r="F278" s="24">
        <v>187634.53</v>
      </c>
      <c r="G278" s="24">
        <v>2341.9699999999998</v>
      </c>
      <c r="H278" s="27">
        <v>8569</v>
      </c>
      <c r="I278" s="27">
        <v>1759</v>
      </c>
      <c r="J278" s="23">
        <f t="shared" si="20"/>
        <v>185292.56</v>
      </c>
      <c r="K278" s="24">
        <f t="shared" si="21"/>
        <v>21.62359201773836</v>
      </c>
      <c r="L278" s="311">
        <f t="shared" si="22"/>
        <v>1.2481551236864556E-2</v>
      </c>
      <c r="M278" s="26">
        <f t="shared" si="23"/>
        <v>4.8715179079022173</v>
      </c>
      <c r="N278" s="24">
        <f t="shared" si="24"/>
        <v>106.67113700966458</v>
      </c>
      <c r="O278" s="82"/>
    </row>
    <row r="279" spans="1:15" x14ac:dyDescent="0.25">
      <c r="A279" s="59" t="s">
        <v>117</v>
      </c>
      <c r="C279" s="21" t="s">
        <v>110</v>
      </c>
      <c r="D279" s="21" t="s">
        <v>77</v>
      </c>
      <c r="E279" s="21" t="s">
        <v>60</v>
      </c>
      <c r="F279" s="24">
        <v>189661.28</v>
      </c>
      <c r="G279" s="24">
        <v>2171.58</v>
      </c>
      <c r="H279" s="27">
        <v>8158</v>
      </c>
      <c r="I279" s="27">
        <v>1778</v>
      </c>
      <c r="J279" s="23">
        <f t="shared" si="20"/>
        <v>187489.7</v>
      </c>
      <c r="K279" s="24">
        <f t="shared" si="21"/>
        <v>22.982311841137534</v>
      </c>
      <c r="L279" s="311">
        <f t="shared" si="22"/>
        <v>1.1449780366345729E-2</v>
      </c>
      <c r="M279" s="26">
        <f t="shared" si="23"/>
        <v>4.5883014623172107</v>
      </c>
      <c r="N279" s="24">
        <f t="shared" si="24"/>
        <v>106.6711361079865</v>
      </c>
      <c r="O279" s="82"/>
    </row>
    <row r="280" spans="1:15" x14ac:dyDescent="0.25">
      <c r="A280" s="59" t="s">
        <v>117</v>
      </c>
      <c r="C280" s="21" t="s">
        <v>15</v>
      </c>
      <c r="D280" s="21" t="s">
        <v>16</v>
      </c>
      <c r="E280" s="21" t="s">
        <v>27</v>
      </c>
      <c r="F280" s="24">
        <v>91390341.189999998</v>
      </c>
      <c r="G280" s="24">
        <v>7953785.4100000001</v>
      </c>
      <c r="H280" s="27">
        <v>1714450</v>
      </c>
      <c r="I280" s="27">
        <v>1122101</v>
      </c>
      <c r="J280" s="23">
        <f t="shared" si="20"/>
        <v>83436555.780000001</v>
      </c>
      <c r="K280" s="24">
        <f t="shared" si="21"/>
        <v>48.66666031671965</v>
      </c>
      <c r="L280" s="311">
        <f t="shared" si="22"/>
        <v>8.7030919311966742E-2</v>
      </c>
      <c r="M280" s="26">
        <f t="shared" si="23"/>
        <v>1.5278927654462477</v>
      </c>
      <c r="N280" s="24">
        <f t="shared" si="24"/>
        <v>81.445735446274441</v>
      </c>
      <c r="O280" s="82"/>
    </row>
    <row r="281" spans="1:15" x14ac:dyDescent="0.25">
      <c r="A281" s="59" t="s">
        <v>117</v>
      </c>
      <c r="C281" s="21" t="s">
        <v>15</v>
      </c>
      <c r="D281" s="21" t="s">
        <v>16</v>
      </c>
      <c r="E281" s="21" t="s">
        <v>59</v>
      </c>
      <c r="F281" s="24">
        <v>9446573.7799999993</v>
      </c>
      <c r="G281" s="24">
        <v>369281.69</v>
      </c>
      <c r="H281" s="27">
        <v>158532</v>
      </c>
      <c r="I281" s="27">
        <v>122046</v>
      </c>
      <c r="J281" s="23">
        <f t="shared" si="20"/>
        <v>9077292.0899999999</v>
      </c>
      <c r="K281" s="24">
        <f t="shared" si="21"/>
        <v>57.2584215805011</v>
      </c>
      <c r="L281" s="311">
        <f t="shared" si="22"/>
        <v>3.9091600679796945E-2</v>
      </c>
      <c r="M281" s="26">
        <f t="shared" si="23"/>
        <v>1.2989528538419941</v>
      </c>
      <c r="N281" s="24">
        <f t="shared" si="24"/>
        <v>77.4017483571768</v>
      </c>
      <c r="O281" s="82"/>
    </row>
    <row r="282" spans="1:15" x14ac:dyDescent="0.25">
      <c r="A282" s="59" t="s">
        <v>117</v>
      </c>
      <c r="C282" s="21" t="s">
        <v>15</v>
      </c>
      <c r="D282" s="21" t="s">
        <v>16</v>
      </c>
      <c r="E282" s="21" t="s">
        <v>60</v>
      </c>
      <c r="F282" s="24">
        <v>8742548.0199999996</v>
      </c>
      <c r="G282" s="24">
        <v>349945.9</v>
      </c>
      <c r="H282" s="27">
        <v>148660</v>
      </c>
      <c r="I282" s="27">
        <v>112930</v>
      </c>
      <c r="J282" s="23">
        <f t="shared" si="20"/>
        <v>8392602.1199999992</v>
      </c>
      <c r="K282" s="24">
        <f t="shared" si="21"/>
        <v>56.455012242701464</v>
      </c>
      <c r="L282" s="311">
        <f t="shared" si="22"/>
        <v>4.0027907104363845E-2</v>
      </c>
      <c r="M282" s="26">
        <f t="shared" si="23"/>
        <v>1.3163906844948199</v>
      </c>
      <c r="N282" s="24">
        <f t="shared" si="24"/>
        <v>77.415638182945187</v>
      </c>
      <c r="O282" s="82"/>
    </row>
    <row r="283" spans="1:15" x14ac:dyDescent="0.25">
      <c r="A283" s="59" t="s">
        <v>117</v>
      </c>
      <c r="C283" s="21" t="s">
        <v>76</v>
      </c>
      <c r="D283" s="21" t="s">
        <v>82</v>
      </c>
      <c r="E283" s="21" t="s">
        <v>27</v>
      </c>
      <c r="F283" s="24">
        <v>8940762</v>
      </c>
      <c r="G283" s="24">
        <v>498226</v>
      </c>
      <c r="H283" s="27">
        <v>131112</v>
      </c>
      <c r="I283" s="27">
        <v>97237</v>
      </c>
      <c r="J283" s="23">
        <f t="shared" si="20"/>
        <v>8442536</v>
      </c>
      <c r="K283" s="24">
        <f t="shared" si="21"/>
        <v>64.391787174324236</v>
      </c>
      <c r="L283" s="311">
        <f t="shared" si="22"/>
        <v>5.5725227894445686E-2</v>
      </c>
      <c r="M283" s="26">
        <f t="shared" si="23"/>
        <v>1.3483756183345845</v>
      </c>
      <c r="N283" s="24">
        <f t="shared" si="24"/>
        <v>91.948147310180275</v>
      </c>
      <c r="O283" s="82"/>
    </row>
    <row r="284" spans="1:15" x14ac:dyDescent="0.25">
      <c r="A284" s="59" t="s">
        <v>117</v>
      </c>
      <c r="C284" s="21" t="s">
        <v>14</v>
      </c>
      <c r="D284" s="21" t="s">
        <v>54</v>
      </c>
      <c r="F284" s="24">
        <v>787676</v>
      </c>
      <c r="G284" s="24">
        <v>600328</v>
      </c>
      <c r="H284" s="27">
        <v>77806</v>
      </c>
      <c r="I284" s="27">
        <v>20641</v>
      </c>
      <c r="J284" s="23">
        <f t="shared" si="20"/>
        <v>187348</v>
      </c>
      <c r="K284" s="24">
        <f t="shared" si="21"/>
        <v>2.4078862812636559</v>
      </c>
      <c r="L284" s="311">
        <f t="shared" si="22"/>
        <v>0.76215093515607946</v>
      </c>
      <c r="M284" s="26">
        <f t="shared" si="23"/>
        <v>3.7694879124073446</v>
      </c>
      <c r="N284" s="24">
        <f t="shared" si="24"/>
        <v>38.160748025773948</v>
      </c>
      <c r="O284" s="82"/>
    </row>
    <row r="285" spans="1:15" x14ac:dyDescent="0.25">
      <c r="A285" s="313" t="s">
        <v>8</v>
      </c>
      <c r="B285" s="312"/>
      <c r="C285" s="312" t="s">
        <v>113</v>
      </c>
      <c r="D285" s="21" t="s">
        <v>114</v>
      </c>
      <c r="E285" s="21" t="s">
        <v>114</v>
      </c>
      <c r="F285" s="24">
        <v>454438.21</v>
      </c>
      <c r="G285" s="24">
        <v>231848.23</v>
      </c>
      <c r="H285" s="27">
        <v>127220</v>
      </c>
      <c r="I285" s="27">
        <v>2018.83</v>
      </c>
      <c r="J285" s="23">
        <f t="shared" si="20"/>
        <v>222589.98</v>
      </c>
      <c r="K285" s="24">
        <f t="shared" si="21"/>
        <v>1.7496461248231412</v>
      </c>
      <c r="L285" s="311">
        <f t="shared" si="22"/>
        <v>0.51018647837733544</v>
      </c>
      <c r="M285" s="26">
        <f t="shared" si="23"/>
        <v>63.016697790304285</v>
      </c>
      <c r="N285" s="24">
        <f t="shared" si="24"/>
        <v>225.09979047269954</v>
      </c>
      <c r="O285" s="82"/>
    </row>
    <row r="286" spans="1:15" x14ac:dyDescent="0.25">
      <c r="A286" s="313" t="s">
        <v>8</v>
      </c>
      <c r="B286" s="312"/>
      <c r="C286" s="312" t="s">
        <v>115</v>
      </c>
      <c r="D286" s="21" t="s">
        <v>114</v>
      </c>
      <c r="E286" s="21" t="s">
        <v>114</v>
      </c>
      <c r="F286" s="24">
        <v>451682.99</v>
      </c>
      <c r="G286" s="24">
        <v>165036.5</v>
      </c>
      <c r="H286" s="27">
        <v>90559</v>
      </c>
      <c r="I286" s="27">
        <v>2006.59</v>
      </c>
      <c r="J286" s="23">
        <f t="shared" si="20"/>
        <v>286646.49</v>
      </c>
      <c r="K286" s="24">
        <f t="shared" si="21"/>
        <v>3.1653009640124119</v>
      </c>
      <c r="L286" s="311">
        <f t="shared" si="22"/>
        <v>0.36538125998501736</v>
      </c>
      <c r="M286" s="26">
        <f t="shared" si="23"/>
        <v>45.130794033659093</v>
      </c>
      <c r="N286" s="24">
        <f t="shared" si="24"/>
        <v>225.09979118803543</v>
      </c>
      <c r="O286" s="82"/>
    </row>
    <row r="287" spans="1:15" ht="15.75" thickBot="1" x14ac:dyDescent="0.3">
      <c r="A287" s="315" t="s">
        <v>28</v>
      </c>
      <c r="B287" s="316">
        <v>682</v>
      </c>
      <c r="C287" s="316" t="s">
        <v>100</v>
      </c>
      <c r="D287" s="85" t="s">
        <v>114</v>
      </c>
      <c r="E287" s="85" t="s">
        <v>114</v>
      </c>
      <c r="F287" s="87">
        <v>667370.34</v>
      </c>
      <c r="G287" s="87">
        <v>448709</v>
      </c>
      <c r="H287" s="172">
        <v>165261</v>
      </c>
      <c r="I287" s="172">
        <v>3463</v>
      </c>
      <c r="J287" s="86">
        <f t="shared" si="20"/>
        <v>218661.33999999997</v>
      </c>
      <c r="K287" s="87">
        <f t="shared" si="21"/>
        <v>1.3231272956111846</v>
      </c>
      <c r="L287" s="132">
        <f t="shared" si="22"/>
        <v>0.67235382381542463</v>
      </c>
      <c r="M287" s="110">
        <f t="shared" si="23"/>
        <v>47.72191741264799</v>
      </c>
      <c r="N287" s="87">
        <f t="shared" si="24"/>
        <v>192.71450765232456</v>
      </c>
      <c r="O287" s="88"/>
    </row>
    <row r="289" spans="6:14" x14ac:dyDescent="0.25">
      <c r="H289" s="27"/>
      <c r="I289" s="27"/>
      <c r="J289" s="23"/>
      <c r="K289" s="24"/>
      <c r="L289" s="311"/>
      <c r="M289" s="26"/>
      <c r="N289" s="24"/>
    </row>
    <row r="290" spans="6:14" x14ac:dyDescent="0.25">
      <c r="F290" s="319"/>
      <c r="G290" s="319"/>
      <c r="J290" s="143"/>
      <c r="K290" s="29"/>
      <c r="L290" s="317"/>
      <c r="N290" s="29"/>
    </row>
    <row r="291" spans="6:14" x14ac:dyDescent="0.25">
      <c r="F291" s="318"/>
      <c r="G291" s="318"/>
      <c r="H291" s="318"/>
      <c r="I291" s="318"/>
      <c r="J291" s="318"/>
      <c r="K291" s="318"/>
      <c r="L291" s="318"/>
      <c r="M291" s="318"/>
    </row>
  </sheetData>
  <autoFilter ref="A2:O287" xr:uid="{E6F7F75E-2FB1-4263-8E71-4C64139B52E2}">
    <sortState xmlns:xlrd2="http://schemas.microsoft.com/office/spreadsheetml/2017/richdata2" ref="A3:O3">
      <sortCondition descending="1" ref="E3"/>
      <sortCondition ref="K3"/>
    </sortState>
  </autoFilter>
  <sortState xmlns:xlrd2="http://schemas.microsoft.com/office/spreadsheetml/2017/richdata2" ref="A3:O17">
    <sortCondition ref="A4:A17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60C47-4874-4271-BE45-136EFC5E64B8}">
  <dimension ref="A1:T86"/>
  <sheetViews>
    <sheetView zoomScale="90" zoomScaleNormal="90"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25.5703125" customWidth="1"/>
    <col min="2" max="3" width="9" style="12" customWidth="1"/>
    <col min="4" max="5" width="10.7109375" customWidth="1"/>
    <col min="6" max="6" width="13.85546875" bestFit="1" customWidth="1"/>
    <col min="7" max="7" width="15.140625" bestFit="1" customWidth="1"/>
    <col min="8" max="8" width="16.28515625" bestFit="1" customWidth="1"/>
    <col min="9" max="9" width="11.85546875" customWidth="1"/>
    <col min="10" max="10" width="13.28515625" customWidth="1"/>
    <col min="11" max="11" width="11.7109375" customWidth="1"/>
    <col min="12" max="14" width="14.140625" customWidth="1"/>
    <col min="15" max="15" width="12.85546875" customWidth="1"/>
    <col min="16" max="16" width="40.7109375" customWidth="1"/>
    <col min="17" max="17" width="16.42578125" bestFit="1" customWidth="1"/>
    <col min="18" max="18" width="20.85546875" bestFit="1" customWidth="1"/>
    <col min="19" max="19" width="26.7109375" bestFit="1" customWidth="1"/>
    <col min="20" max="20" width="19.7109375" bestFit="1" customWidth="1"/>
  </cols>
  <sheetData>
    <row r="1" spans="1:20" ht="22.5" x14ac:dyDescent="0.45">
      <c r="A1" s="13" t="s">
        <v>43</v>
      </c>
      <c r="B1" s="15"/>
      <c r="C1" s="15"/>
      <c r="D1" s="14"/>
      <c r="E1" s="14"/>
      <c r="F1" s="14"/>
      <c r="G1" s="14"/>
      <c r="H1" s="14"/>
      <c r="I1" s="14"/>
      <c r="J1" s="14"/>
      <c r="K1" s="14"/>
      <c r="L1" s="14"/>
      <c r="O1" s="14"/>
      <c r="P1" s="14"/>
    </row>
    <row r="2" spans="1:20" ht="37.5" thickBot="1" x14ac:dyDescent="0.75">
      <c r="A2" s="333" t="s">
        <v>91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</row>
    <row r="3" spans="1:20" s="6" customFormat="1" ht="75.75" thickBot="1" x14ac:dyDescent="0.3">
      <c r="A3" s="44" t="s">
        <v>7</v>
      </c>
      <c r="B3" s="45" t="s">
        <v>65</v>
      </c>
      <c r="C3" s="45" t="s">
        <v>66</v>
      </c>
      <c r="D3" s="38" t="s">
        <v>0</v>
      </c>
      <c r="E3" s="38" t="s">
        <v>1</v>
      </c>
      <c r="F3" s="39" t="s">
        <v>2</v>
      </c>
      <c r="G3" s="39" t="s">
        <v>32</v>
      </c>
      <c r="H3" s="39" t="s">
        <v>34</v>
      </c>
      <c r="I3" s="40" t="s">
        <v>85</v>
      </c>
      <c r="J3" s="40" t="s">
        <v>33</v>
      </c>
      <c r="K3" s="41" t="s">
        <v>13</v>
      </c>
      <c r="L3" s="42" t="s">
        <v>64</v>
      </c>
      <c r="M3" s="120" t="s">
        <v>86</v>
      </c>
      <c r="N3" s="120" t="s">
        <v>88</v>
      </c>
      <c r="O3" s="42" t="s">
        <v>36</v>
      </c>
      <c r="P3" s="46" t="s">
        <v>37</v>
      </c>
    </row>
    <row r="4" spans="1:20" ht="15.75" thickTop="1" x14ac:dyDescent="0.25">
      <c r="A4" s="207" t="s">
        <v>117</v>
      </c>
      <c r="B4" s="223">
        <v>2</v>
      </c>
      <c r="C4" s="223" t="s">
        <v>100</v>
      </c>
      <c r="D4" s="209" t="s">
        <v>17</v>
      </c>
      <c r="E4" s="208" t="s">
        <v>27</v>
      </c>
      <c r="F4" s="224">
        <v>9256759.2599999998</v>
      </c>
      <c r="G4" s="224">
        <v>925664.53</v>
      </c>
      <c r="H4" s="225">
        <v>1036970.1</v>
      </c>
      <c r="I4" s="226">
        <v>30195.38</v>
      </c>
      <c r="J4" s="224">
        <f>F4-G4</f>
        <v>8331094.7299999995</v>
      </c>
      <c r="K4" s="220">
        <f>J4/H4</f>
        <v>8.0340742032967007</v>
      </c>
      <c r="L4" s="215">
        <f>+IF(E4="Weekdays",K4/$G$77,IF(E4="Saturdays",K4/$G$78,IF(E4="Sundays",K4/$G$79,"NA")))</f>
        <v>0.60431154871133619</v>
      </c>
      <c r="M4" s="221">
        <f>(G4/F4)</f>
        <v>9.9998768899602991E-2</v>
      </c>
      <c r="N4" s="215">
        <f>+IF(E4="Weekdays",M4/$G$83,IF(E4="Saturdays",M4/$G$84,IF(E4="Sundays",M4/$G$85,"NA")))</f>
        <v>1.2888794418009757</v>
      </c>
      <c r="O4" s="229">
        <f>H4/I4</f>
        <v>34.342011923678392</v>
      </c>
      <c r="P4" s="322"/>
    </row>
    <row r="5" spans="1:20" x14ac:dyDescent="0.25">
      <c r="A5" s="174" t="s">
        <v>117</v>
      </c>
      <c r="B5" s="191">
        <v>3</v>
      </c>
      <c r="C5" s="191" t="s">
        <v>100</v>
      </c>
      <c r="D5" s="177" t="s">
        <v>17</v>
      </c>
      <c r="E5" s="176" t="s">
        <v>27</v>
      </c>
      <c r="F5" s="185">
        <v>12731743.42</v>
      </c>
      <c r="G5" s="185">
        <v>1314327.28</v>
      </c>
      <c r="H5" s="186">
        <v>1219341.27</v>
      </c>
      <c r="I5" s="187">
        <v>42975.360000000001</v>
      </c>
      <c r="J5" s="185">
        <f>F5-G5</f>
        <v>11417416.140000001</v>
      </c>
      <c r="K5" s="180">
        <f>J5/H5</f>
        <v>9.3635936229731644</v>
      </c>
      <c r="L5" s="181">
        <f>+IF(E5="Weekdays",K5/$G$77,IF(E5="Saturdays",K5/$G$78,IF(E5="Sundays",K5/$G$79,"NA")))</f>
        <v>0.70431609425272479</v>
      </c>
      <c r="M5" s="189">
        <f>G5/F5</f>
        <v>0.10323230971929216</v>
      </c>
      <c r="N5" s="181">
        <f>+IF(E5="Weekdays",M5/$G$83,IF(E5="Saturdays",M5/$G$84,IF(E5="Sundays",M5/$G$85,"NA")))</f>
        <v>1.3305563977533623</v>
      </c>
      <c r="O5" s="192">
        <f>H5/I5</f>
        <v>28.373032128177634</v>
      </c>
      <c r="P5" s="193"/>
    </row>
    <row r="6" spans="1:20" x14ac:dyDescent="0.25">
      <c r="A6" s="174" t="s">
        <v>117</v>
      </c>
      <c r="B6" s="191">
        <v>4</v>
      </c>
      <c r="C6" s="191" t="s">
        <v>100</v>
      </c>
      <c r="D6" s="177" t="s">
        <v>17</v>
      </c>
      <c r="E6" s="176" t="s">
        <v>27</v>
      </c>
      <c r="F6" s="185">
        <v>10212737.08</v>
      </c>
      <c r="G6" s="185">
        <v>960505.28</v>
      </c>
      <c r="H6" s="186">
        <v>761777.42</v>
      </c>
      <c r="I6" s="187">
        <v>34180.71</v>
      </c>
      <c r="J6" s="185">
        <f>F6-G6</f>
        <v>9252231.8000000007</v>
      </c>
      <c r="K6" s="180">
        <f>J6/H6</f>
        <v>12.145584204898066</v>
      </c>
      <c r="L6" s="181">
        <f>+IF(E6="Weekdays",K6/$G$77,IF(E6="Saturdays",K6/$G$78,IF(E6="Sundays",K6/$G$79,"NA")))</f>
        <v>0.91357343922142453</v>
      </c>
      <c r="M6" s="189">
        <f>G6/F6</f>
        <v>9.4049741266814244E-2</v>
      </c>
      <c r="N6" s="181">
        <f>+IF(E6="Weekdays",M6/$G$83,IF(E6="Saturdays",M6/$G$84,IF(E6="Sundays",M6/$G$85,"NA")))</f>
        <v>1.2122027036872749</v>
      </c>
      <c r="O6" s="192">
        <f>H6/I6</f>
        <v>22.286764084186668</v>
      </c>
      <c r="P6" s="193"/>
    </row>
    <row r="7" spans="1:20" x14ac:dyDescent="0.25">
      <c r="A7" s="174" t="s">
        <v>117</v>
      </c>
      <c r="B7" s="191">
        <v>6</v>
      </c>
      <c r="C7" s="191" t="s">
        <v>100</v>
      </c>
      <c r="D7" s="177" t="s">
        <v>17</v>
      </c>
      <c r="E7" s="176" t="s">
        <v>27</v>
      </c>
      <c r="F7" s="185">
        <v>12201494.98</v>
      </c>
      <c r="G7" s="185">
        <v>973591.64</v>
      </c>
      <c r="H7" s="186">
        <v>808040.63</v>
      </c>
      <c r="I7" s="187">
        <v>39709.089999999997</v>
      </c>
      <c r="J7" s="185">
        <f>F7-G7</f>
        <v>11227903.34</v>
      </c>
      <c r="K7" s="180">
        <f>J7/H7</f>
        <v>13.895221258861698</v>
      </c>
      <c r="L7" s="181">
        <f>+IF(E7="Weekdays",K7/$G$77,IF(E7="Saturdays",K7/$G$78,IF(E7="Sundays",K7/$G$79,"NA")))</f>
        <v>1.0451786311836346</v>
      </c>
      <c r="M7" s="189">
        <f>G7/F7</f>
        <v>7.9792815683312271E-2</v>
      </c>
      <c r="N7" s="181">
        <f>+IF(E7="Weekdays",M7/$G$83,IF(E7="Saturdays",M7/$G$84,IF(E7="Sundays",M7/$G$85,"NA")))</f>
        <v>1.0284458585774046</v>
      </c>
      <c r="O7" s="192">
        <f>H7/I7</f>
        <v>20.34900900524288</v>
      </c>
      <c r="P7" s="145"/>
    </row>
    <row r="8" spans="1:20" x14ac:dyDescent="0.25">
      <c r="A8" s="174" t="s">
        <v>117</v>
      </c>
      <c r="B8" s="191">
        <v>7</v>
      </c>
      <c r="C8" s="191" t="s">
        <v>100</v>
      </c>
      <c r="D8" s="177" t="s">
        <v>17</v>
      </c>
      <c r="E8" s="176" t="s">
        <v>27</v>
      </c>
      <c r="F8" s="185">
        <v>5229647.17</v>
      </c>
      <c r="G8" s="185">
        <v>284026.68</v>
      </c>
      <c r="H8" s="186">
        <v>269220.56</v>
      </c>
      <c r="I8" s="187">
        <v>17979</v>
      </c>
      <c r="J8" s="185">
        <f>F8-G8</f>
        <v>4945620.49</v>
      </c>
      <c r="K8" s="180">
        <f>J8/H8</f>
        <v>18.370144130151132</v>
      </c>
      <c r="L8" s="181">
        <f>+IF(E8="Weekdays",K8/$G$77,IF(E8="Saturdays",K8/$G$78,IF(E8="Sundays",K8/$G$79,"NA")))</f>
        <v>1.3817759169795558</v>
      </c>
      <c r="M8" s="189">
        <f>G8/F8</f>
        <v>5.431086854756207E-2</v>
      </c>
      <c r="N8" s="181">
        <f>+IF(E8="Weekdays",M8/$G$83,IF(E8="Saturdays",M8/$G$84,IF(E8="Sundays",M8/$G$85,"NA")))</f>
        <v>0.70001023720188904</v>
      </c>
      <c r="O8" s="192">
        <f>H8/I8</f>
        <v>14.974167640024472</v>
      </c>
      <c r="P8" s="145"/>
      <c r="Q8" s="2"/>
      <c r="S8" s="2"/>
      <c r="T8" s="2"/>
    </row>
    <row r="9" spans="1:20" x14ac:dyDescent="0.25">
      <c r="A9" s="174" t="s">
        <v>117</v>
      </c>
      <c r="B9" s="227">
        <v>9</v>
      </c>
      <c r="C9" s="227" t="s">
        <v>100</v>
      </c>
      <c r="D9" s="177" t="s">
        <v>17</v>
      </c>
      <c r="E9" s="177" t="s">
        <v>27</v>
      </c>
      <c r="F9" s="185">
        <v>5993538.1399999997</v>
      </c>
      <c r="G9" s="185">
        <v>347036.01</v>
      </c>
      <c r="H9" s="228">
        <v>321268.47999999998</v>
      </c>
      <c r="I9" s="187">
        <v>19287.72</v>
      </c>
      <c r="J9" s="185">
        <f>F9-G9</f>
        <v>5646502.1299999999</v>
      </c>
      <c r="K9" s="180">
        <f>J9/H9</f>
        <v>17.575649282494194</v>
      </c>
      <c r="L9" s="181">
        <f>+IF(E9="Weekdays",K9/$G$77,IF(E9="Saturdays",K9/$G$78,IF(E9="Sundays",K9/$G$79,"NA")))</f>
        <v>1.3220151530531126</v>
      </c>
      <c r="M9" s="189">
        <f>G9/F9</f>
        <v>5.790169377315417E-2</v>
      </c>
      <c r="N9" s="181">
        <f>+IF(E9="Weekdays",M9/$G$83,IF(E9="Saturdays",M9/$G$84,IF(E9="Sundays",M9/$G$85,"NA")))</f>
        <v>0.74629221510316279</v>
      </c>
      <c r="O9" s="192">
        <f>H9/I9</f>
        <v>16.656633339762294</v>
      </c>
      <c r="P9" s="145"/>
      <c r="Q9" s="8"/>
      <c r="S9" s="8"/>
      <c r="T9" s="10"/>
    </row>
    <row r="10" spans="1:20" x14ac:dyDescent="0.25">
      <c r="A10" s="174" t="s">
        <v>117</v>
      </c>
      <c r="B10" s="191">
        <v>10</v>
      </c>
      <c r="C10" s="191" t="s">
        <v>100</v>
      </c>
      <c r="D10" s="177" t="s">
        <v>17</v>
      </c>
      <c r="E10" s="176" t="s">
        <v>27</v>
      </c>
      <c r="F10" s="185">
        <v>12654876.210000001</v>
      </c>
      <c r="G10" s="185">
        <v>885874.74</v>
      </c>
      <c r="H10" s="186">
        <v>1043975.53</v>
      </c>
      <c r="I10" s="187">
        <v>41753.58</v>
      </c>
      <c r="J10" s="185">
        <f>F10-G10</f>
        <v>11769001.470000001</v>
      </c>
      <c r="K10" s="180">
        <f>J10/H10</f>
        <v>11.273254144184778</v>
      </c>
      <c r="L10" s="181">
        <f>+IF(E10="Weekdays",K10/$G$77,IF(E10="Saturdays",K10/$G$78,IF(E10="Sundays",K10/$G$79,"NA")))</f>
        <v>0.84795802210705595</v>
      </c>
      <c r="M10" s="189">
        <f>G10/F10</f>
        <v>7.0002639717642881E-2</v>
      </c>
      <c r="N10" s="181">
        <f>+IF(E10="Weekdays",M10/$G$83,IF(E10="Saturdays",M10/$G$84,IF(E10="Sundays",M10/$G$85,"NA")))</f>
        <v>0.90226073977425314</v>
      </c>
      <c r="O10" s="192">
        <f>H10/I10</f>
        <v>25.003257924230688</v>
      </c>
      <c r="P10" s="193"/>
      <c r="Q10" s="9"/>
      <c r="S10" s="8"/>
      <c r="T10" s="10"/>
    </row>
    <row r="11" spans="1:20" x14ac:dyDescent="0.25">
      <c r="A11" s="174" t="s">
        <v>117</v>
      </c>
      <c r="B11" s="191">
        <v>11</v>
      </c>
      <c r="C11" s="191" t="s">
        <v>100</v>
      </c>
      <c r="D11" s="177" t="s">
        <v>17</v>
      </c>
      <c r="E11" s="176" t="s">
        <v>27</v>
      </c>
      <c r="F11" s="185">
        <v>9677820.1199999992</v>
      </c>
      <c r="G11" s="185">
        <v>746738.76</v>
      </c>
      <c r="H11" s="186">
        <v>686532.67</v>
      </c>
      <c r="I11" s="187">
        <v>32272.46</v>
      </c>
      <c r="J11" s="185">
        <f>F11-G11</f>
        <v>8931081.3599999994</v>
      </c>
      <c r="K11" s="180">
        <f>J11/H11</f>
        <v>13.008967745118378</v>
      </c>
      <c r="L11" s="181">
        <f>+IF(E11="Weekdays",K11/$G$77,IF(E11="Saturdays",K11/$G$78,IF(E11="Sundays",K11/$G$79,"NA")))</f>
        <v>0.97851591188471121</v>
      </c>
      <c r="M11" s="189">
        <f>G11/F11</f>
        <v>7.715980982709153E-2</v>
      </c>
      <c r="N11" s="181">
        <f>+IF(E11="Weekdays",M11/$G$83,IF(E11="Saturdays",M11/$G$84,IF(E11="Sundays",M11/$G$85,"NA")))</f>
        <v>0.994509169600447</v>
      </c>
      <c r="O11" s="192">
        <f>H11/I11</f>
        <v>21.273019472330279</v>
      </c>
      <c r="P11" s="193"/>
      <c r="Q11" s="9"/>
      <c r="S11" s="8"/>
    </row>
    <row r="12" spans="1:20" x14ac:dyDescent="0.25">
      <c r="A12" s="174" t="s">
        <v>117</v>
      </c>
      <c r="B12" s="191">
        <v>14</v>
      </c>
      <c r="C12" s="191" t="s">
        <v>100</v>
      </c>
      <c r="D12" s="177" t="s">
        <v>17</v>
      </c>
      <c r="E12" s="176" t="s">
        <v>27</v>
      </c>
      <c r="F12" s="185">
        <v>9466316.8100000005</v>
      </c>
      <c r="G12" s="185">
        <v>709441.21</v>
      </c>
      <c r="H12" s="186">
        <v>706107.71</v>
      </c>
      <c r="I12" s="187">
        <v>32885.300000000003</v>
      </c>
      <c r="J12" s="185">
        <f>F12-G12</f>
        <v>8756875.6000000015</v>
      </c>
      <c r="K12" s="180">
        <f>J12/H12</f>
        <v>12.401614478901529</v>
      </c>
      <c r="L12" s="181">
        <f>+IF(E12="Weekdays",K12/$G$77,IF(E12="Saturdays",K12/$G$78,IF(E12="Sundays",K12/$G$79,"NA")))</f>
        <v>0.93283166953955265</v>
      </c>
      <c r="M12" s="189">
        <f>G12/F12</f>
        <v>7.4943742559995724E-2</v>
      </c>
      <c r="N12" s="181">
        <f>+IF(E12="Weekdays",M12/$G$83,IF(E12="Saturdays",M12/$G$84,IF(E12="Sundays",M12/$G$85,"NA")))</f>
        <v>0.96594638254178355</v>
      </c>
      <c r="O12" s="192">
        <f>H12/I12</f>
        <v>21.471834223802123</v>
      </c>
      <c r="P12" s="193"/>
      <c r="Q12" s="8"/>
      <c r="S12" s="8"/>
    </row>
    <row r="13" spans="1:20" x14ac:dyDescent="0.25">
      <c r="A13" s="174" t="s">
        <v>117</v>
      </c>
      <c r="B13" s="191">
        <v>17</v>
      </c>
      <c r="C13" s="191" t="s">
        <v>100</v>
      </c>
      <c r="D13" s="177" t="s">
        <v>17</v>
      </c>
      <c r="E13" s="176" t="s">
        <v>27</v>
      </c>
      <c r="F13" s="185">
        <v>11530654.130000001</v>
      </c>
      <c r="G13" s="185">
        <v>787599.09</v>
      </c>
      <c r="H13" s="186">
        <v>784528</v>
      </c>
      <c r="I13" s="187">
        <v>37668.36</v>
      </c>
      <c r="J13" s="185">
        <f>F13-G13</f>
        <v>10743055.040000001</v>
      </c>
      <c r="K13" s="180">
        <f>J13/H13</f>
        <v>13.693654069708156</v>
      </c>
      <c r="L13" s="181">
        <f>+IF(E13="Weekdays",K13/$G$77,IF(E13="Saturdays",K13/$G$78,IF(E13="Sundays",K13/$G$79,"NA")))</f>
        <v>1.0300170360620977</v>
      </c>
      <c r="M13" s="189">
        <f>G13/F13</f>
        <v>6.8304805704895416E-2</v>
      </c>
      <c r="N13" s="181">
        <f>+IF(E13="Weekdays",M13/$G$83,IF(E13="Saturdays",M13/$G$84,IF(E13="Sundays",M13/$G$85,"NA")))</f>
        <v>0.88037743682261693</v>
      </c>
      <c r="O13" s="192">
        <f>H13/I13</f>
        <v>20.827240686878856</v>
      </c>
      <c r="P13" s="145"/>
    </row>
    <row r="14" spans="1:20" x14ac:dyDescent="0.25">
      <c r="A14" s="174" t="s">
        <v>117</v>
      </c>
      <c r="B14" s="191">
        <v>18</v>
      </c>
      <c r="C14" s="191" t="s">
        <v>100</v>
      </c>
      <c r="D14" s="177" t="s">
        <v>17</v>
      </c>
      <c r="E14" s="176" t="s">
        <v>27</v>
      </c>
      <c r="F14" s="185">
        <v>13159334.15</v>
      </c>
      <c r="G14" s="185">
        <v>1122682.3600000001</v>
      </c>
      <c r="H14" s="186">
        <v>1262132.82</v>
      </c>
      <c r="I14" s="187">
        <v>44108.26</v>
      </c>
      <c r="J14" s="185">
        <f>F14-G14</f>
        <v>12036651.790000001</v>
      </c>
      <c r="K14" s="180">
        <f>J14/H14</f>
        <v>9.5367552441905445</v>
      </c>
      <c r="L14" s="181">
        <f>+IF(E14="Weekdays",K14/$G$77,IF(E14="Saturdays",K14/$G$78,IF(E14="Sundays",K14/$G$79,"NA")))</f>
        <v>0.71734106325939662</v>
      </c>
      <c r="M14" s="189">
        <f>G14/F14</f>
        <v>8.5314526343264876E-2</v>
      </c>
      <c r="N14" s="181">
        <f>+IF(E14="Weekdays",M14/$G$83,IF(E14="Saturdays",M14/$G$84,IF(E14="Sundays",M14/$G$85,"NA")))</f>
        <v>1.0996149282719663</v>
      </c>
      <c r="O14" s="192">
        <f>H14/I14</f>
        <v>28.614432308143645</v>
      </c>
      <c r="P14" s="193"/>
    </row>
    <row r="15" spans="1:20" x14ac:dyDescent="0.25">
      <c r="A15" s="174" t="s">
        <v>117</v>
      </c>
      <c r="B15" s="191">
        <v>21</v>
      </c>
      <c r="C15" s="191" t="s">
        <v>100</v>
      </c>
      <c r="D15" s="177" t="s">
        <v>17</v>
      </c>
      <c r="E15" s="176" t="s">
        <v>27</v>
      </c>
      <c r="F15" s="185">
        <v>21564656.289999999</v>
      </c>
      <c r="G15" s="185">
        <v>1600074.41</v>
      </c>
      <c r="H15" s="186">
        <v>1863798.88</v>
      </c>
      <c r="I15" s="187">
        <v>72605.87</v>
      </c>
      <c r="J15" s="185">
        <f>F15-G15</f>
        <v>19964581.879999999</v>
      </c>
      <c r="K15" s="180">
        <f>J15/H15</f>
        <v>10.711768364191741</v>
      </c>
      <c r="L15" s="181">
        <f>+IF(E15="Weekdays",K15/$G$77,IF(E15="Saturdays",K15/$G$78,IF(E15="Sundays",K15/$G$79,"NA")))</f>
        <v>0.80572386634736037</v>
      </c>
      <c r="M15" s="189">
        <f>G15/F15</f>
        <v>7.4198929418689108E-2</v>
      </c>
      <c r="N15" s="181">
        <f>+IF(E15="Weekdays",M15/$G$83,IF(E15="Saturdays",M15/$G$84,IF(E15="Sundays",M15/$G$85,"NA")))</f>
        <v>0.95634652089971572</v>
      </c>
      <c r="O15" s="192">
        <f>H15/I15</f>
        <v>25.670085352603035</v>
      </c>
      <c r="P15" s="193"/>
    </row>
    <row r="16" spans="1:20" x14ac:dyDescent="0.25">
      <c r="A16" s="174" t="s">
        <v>117</v>
      </c>
      <c r="B16" s="191">
        <v>22</v>
      </c>
      <c r="C16" s="191" t="s">
        <v>100</v>
      </c>
      <c r="D16" s="177" t="s">
        <v>17</v>
      </c>
      <c r="E16" s="176" t="s">
        <v>27</v>
      </c>
      <c r="F16" s="185">
        <v>10654207.84</v>
      </c>
      <c r="G16" s="185">
        <v>716230.3</v>
      </c>
      <c r="H16" s="186">
        <v>643246.19999999995</v>
      </c>
      <c r="I16" s="187">
        <v>36898.46</v>
      </c>
      <c r="J16" s="185">
        <f>F16-G16</f>
        <v>9937977.5399999991</v>
      </c>
      <c r="K16" s="180">
        <f>J16/H16</f>
        <v>15.449725999158643</v>
      </c>
      <c r="L16" s="181">
        <f>+IF(E16="Weekdays",K16/$G$77,IF(E16="Saturdays",K16/$G$78,IF(E16="Sundays",K16/$G$79,"NA")))</f>
        <v>1.1621062501372266</v>
      </c>
      <c r="M16" s="189">
        <f>G16/F16</f>
        <v>6.7225110562513679E-2</v>
      </c>
      <c r="N16" s="181">
        <f>+IF(E16="Weekdays",M16/$G$83,IF(E16="Saturdays",M16/$G$84,IF(E16="Sundays",M16/$G$85,"NA")))</f>
        <v>0.8664612967766796</v>
      </c>
      <c r="O16" s="192">
        <f>H16/I16</f>
        <v>17.432873892297945</v>
      </c>
      <c r="P16" s="145"/>
    </row>
    <row r="17" spans="1:16" x14ac:dyDescent="0.25">
      <c r="A17" s="174" t="s">
        <v>117</v>
      </c>
      <c r="B17" s="191">
        <v>25</v>
      </c>
      <c r="C17" s="191" t="s">
        <v>100</v>
      </c>
      <c r="D17" s="177" t="s">
        <v>17</v>
      </c>
      <c r="E17" s="176" t="s">
        <v>27</v>
      </c>
      <c r="F17" s="185">
        <v>1797051.99</v>
      </c>
      <c r="G17" s="185">
        <v>108684.25</v>
      </c>
      <c r="H17" s="186">
        <v>57704.25</v>
      </c>
      <c r="I17" s="187">
        <v>5413.92</v>
      </c>
      <c r="J17" s="185">
        <f>F17-G17</f>
        <v>1688367.74</v>
      </c>
      <c r="K17" s="180">
        <f>J17/H17</f>
        <v>29.258984216933762</v>
      </c>
      <c r="L17" s="181">
        <f>+IF(E17="Weekdays",K17/$G$77,IF(E17="Saturdays",K17/$G$78,IF(E17="Sundays",K17/$G$79,"NA")))</f>
        <v>2.2008188645557123</v>
      </c>
      <c r="M17" s="189">
        <f>G17/F17</f>
        <v>6.0479190699429905E-2</v>
      </c>
      <c r="N17" s="181">
        <f>+IF(E17="Weekdays",M17/$G$83,IF(E17="Saturdays",M17/$G$84,IF(E17="Sundays",M17/$G$85,"NA")))</f>
        <v>0.77951345208576317</v>
      </c>
      <c r="O17" s="192">
        <f>H17/I17</f>
        <v>10.658496985548364</v>
      </c>
      <c r="P17" s="145"/>
    </row>
    <row r="18" spans="1:16" x14ac:dyDescent="0.25">
      <c r="A18" s="174" t="s">
        <v>117</v>
      </c>
      <c r="B18" s="191">
        <v>54</v>
      </c>
      <c r="C18" s="191" t="s">
        <v>100</v>
      </c>
      <c r="D18" s="177" t="s">
        <v>17</v>
      </c>
      <c r="E18" s="176" t="s">
        <v>27</v>
      </c>
      <c r="F18" s="185">
        <v>10139651.01</v>
      </c>
      <c r="G18" s="185">
        <v>889820.06</v>
      </c>
      <c r="H18" s="186">
        <v>884015.33</v>
      </c>
      <c r="I18" s="187">
        <v>33838.019999999997</v>
      </c>
      <c r="J18" s="185">
        <f>F18-G18</f>
        <v>9249830.9499999993</v>
      </c>
      <c r="K18" s="180">
        <f>J18/H18</f>
        <v>10.463428219055885</v>
      </c>
      <c r="L18" s="181">
        <f>+IF(E18="Weekdays",K18/$G$77,IF(E18="Saturdays",K18/$G$78,IF(E18="Sundays",K18/$G$79,"NA")))</f>
        <v>0.78704407650266794</v>
      </c>
      <c r="M18" s="189">
        <f>G18/F18</f>
        <v>8.7756477922409287E-2</v>
      </c>
      <c r="N18" s="181">
        <f>+IF(E18="Weekdays",M18/$G$83,IF(E18="Saturdays",M18/$G$84,IF(E18="Sundays",M18/$G$85,"NA")))</f>
        <v>1.1310891276332862</v>
      </c>
      <c r="O18" s="192">
        <f>H18/I18</f>
        <v>26.124913041602316</v>
      </c>
      <c r="P18" s="193"/>
    </row>
    <row r="19" spans="1:16" x14ac:dyDescent="0.25">
      <c r="A19" s="174" t="s">
        <v>117</v>
      </c>
      <c r="B19" s="191">
        <v>61</v>
      </c>
      <c r="C19" s="191" t="s">
        <v>100</v>
      </c>
      <c r="D19" s="177" t="s">
        <v>17</v>
      </c>
      <c r="E19" s="176" t="s">
        <v>27</v>
      </c>
      <c r="F19" s="185">
        <v>5740202.0999999996</v>
      </c>
      <c r="G19" s="185">
        <v>454354.22</v>
      </c>
      <c r="H19" s="186">
        <v>361363.88</v>
      </c>
      <c r="I19" s="187">
        <v>19627.259999999998</v>
      </c>
      <c r="J19" s="185">
        <f>F19-G19</f>
        <v>5285847.88</v>
      </c>
      <c r="K19" s="180">
        <f>J19/H19</f>
        <v>14.627493705236947</v>
      </c>
      <c r="L19" s="181">
        <f>+IF(E19="Weekdays",K19/$G$77,IF(E19="Saturdays",K19/$G$78,IF(E19="Sundays",K19/$G$79,"NA")))</f>
        <v>1.1002591152506205</v>
      </c>
      <c r="M19" s="189">
        <f>G19/F19</f>
        <v>7.9153000553760997E-2</v>
      </c>
      <c r="N19" s="181">
        <f>+IF(E19="Weekdays",M19/$G$83,IF(E19="Saturdays",M19/$G$84,IF(E19="Sundays",M19/$G$85,"NA")))</f>
        <v>1.0201993113838106</v>
      </c>
      <c r="O19" s="192">
        <f>H19/I19</f>
        <v>18.411325880433644</v>
      </c>
      <c r="P19" s="145"/>
    </row>
    <row r="20" spans="1:16" x14ac:dyDescent="0.25">
      <c r="A20" s="174" t="s">
        <v>117</v>
      </c>
      <c r="B20" s="191">
        <v>62</v>
      </c>
      <c r="C20" s="191" t="s">
        <v>100</v>
      </c>
      <c r="D20" s="177" t="s">
        <v>17</v>
      </c>
      <c r="E20" s="176" t="s">
        <v>27</v>
      </c>
      <c r="F20" s="185">
        <v>5673295.2800000003</v>
      </c>
      <c r="G20" s="185">
        <v>0</v>
      </c>
      <c r="H20" s="186">
        <v>506622.61</v>
      </c>
      <c r="I20" s="187">
        <v>18472.259999999998</v>
      </c>
      <c r="J20" s="185">
        <f>F20-G20</f>
        <v>5673295.2800000003</v>
      </c>
      <c r="K20" s="180">
        <f>J20/H20</f>
        <v>11.198267049313097</v>
      </c>
      <c r="L20" s="181">
        <f>+IF(E20="Weekdays",K20/$G$77,IF(E20="Saturdays",K20/$G$78,IF(E20="Sundays",K20/$G$79,"NA")))</f>
        <v>0.8423176002876166</v>
      </c>
      <c r="M20" s="189">
        <f>G20/F20</f>
        <v>0</v>
      </c>
      <c r="N20" s="181">
        <f>+IF(E20="Weekdays",M20/$G$83,IF(E20="Saturdays",M20/$G$84,IF(E20="Sundays",M20/$G$85,"NA")))</f>
        <v>0</v>
      </c>
      <c r="O20" s="192">
        <f>H20/I20</f>
        <v>27.42613031648537</v>
      </c>
      <c r="P20" s="193" t="s">
        <v>118</v>
      </c>
    </row>
    <row r="21" spans="1:16" x14ac:dyDescent="0.25">
      <c r="A21" s="174" t="s">
        <v>117</v>
      </c>
      <c r="B21" s="191">
        <v>63</v>
      </c>
      <c r="C21" s="191" t="s">
        <v>100</v>
      </c>
      <c r="D21" s="177" t="s">
        <v>17</v>
      </c>
      <c r="E21" s="176" t="s">
        <v>27</v>
      </c>
      <c r="F21" s="185">
        <v>9916098.7100000009</v>
      </c>
      <c r="G21" s="185">
        <v>704433.3</v>
      </c>
      <c r="H21" s="186">
        <v>700533.18</v>
      </c>
      <c r="I21" s="187">
        <v>32446.720000000001</v>
      </c>
      <c r="J21" s="185">
        <f>F21-G21</f>
        <v>9211665.4100000001</v>
      </c>
      <c r="K21" s="180">
        <f>J21/H21</f>
        <v>13.149506223245556</v>
      </c>
      <c r="L21" s="181">
        <f>+IF(E21="Weekdays",K21/$G$77,IF(E21="Saturdays",K21/$G$78,IF(E21="Sundays",K21/$G$79,"NA")))</f>
        <v>0.98908701481723327</v>
      </c>
      <c r="M21" s="189">
        <f>G21/F21</f>
        <v>7.1039359389354045E-2</v>
      </c>
      <c r="N21" s="181">
        <f>+IF(E21="Weekdays",M21/$G$83,IF(E21="Saturdays",M21/$G$84,IF(E21="Sundays",M21/$G$85,"NA")))</f>
        <v>0.9156229709945265</v>
      </c>
      <c r="O21" s="192">
        <f>H21/I21</f>
        <v>21.5902618199929</v>
      </c>
      <c r="P21" s="193"/>
    </row>
    <row r="22" spans="1:16" x14ac:dyDescent="0.25">
      <c r="A22" s="174" t="s">
        <v>117</v>
      </c>
      <c r="B22" s="191">
        <v>64</v>
      </c>
      <c r="C22" s="191" t="s">
        <v>100</v>
      </c>
      <c r="D22" s="177" t="s">
        <v>17</v>
      </c>
      <c r="E22" s="176" t="s">
        <v>27</v>
      </c>
      <c r="F22" s="185">
        <v>8677172.0999999996</v>
      </c>
      <c r="G22" s="185">
        <v>625575.9</v>
      </c>
      <c r="H22" s="186">
        <v>678087.01</v>
      </c>
      <c r="I22" s="187">
        <v>28104.7</v>
      </c>
      <c r="J22" s="185">
        <f>F22-G22</f>
        <v>8051596.1999999993</v>
      </c>
      <c r="K22" s="180">
        <f>J22/H22</f>
        <v>11.873986791164159</v>
      </c>
      <c r="L22" s="181">
        <f>+IF(E22="Weekdays",K22/$G$77,IF(E22="Saturdays",K22/$G$78,IF(E22="Sundays",K22/$G$79,"NA")))</f>
        <v>0.89314427096054605</v>
      </c>
      <c r="M22" s="189">
        <f>G22/F22</f>
        <v>7.2094444225671184E-2</v>
      </c>
      <c r="N22" s="181">
        <f>+IF(E22="Weekdays",M22/$G$83,IF(E22="Saturdays",M22/$G$84,IF(E22="Sundays",M22/$G$85,"NA")))</f>
        <v>0.92922190995996912</v>
      </c>
      <c r="O22" s="192">
        <f>H22/I22</f>
        <v>24.127174814176989</v>
      </c>
      <c r="P22" s="193"/>
    </row>
    <row r="23" spans="1:16" x14ac:dyDescent="0.25">
      <c r="A23" s="174" t="s">
        <v>117</v>
      </c>
      <c r="B23" s="191">
        <v>67</v>
      </c>
      <c r="C23" s="191" t="s">
        <v>100</v>
      </c>
      <c r="D23" s="177" t="s">
        <v>17</v>
      </c>
      <c r="E23" s="176" t="s">
        <v>27</v>
      </c>
      <c r="F23" s="185">
        <v>1170869</v>
      </c>
      <c r="G23" s="185">
        <v>144208.49</v>
      </c>
      <c r="H23" s="186">
        <v>122038</v>
      </c>
      <c r="I23" s="187">
        <v>11748.24</v>
      </c>
      <c r="J23" s="185">
        <f>F23-G23</f>
        <v>1026660.51</v>
      </c>
      <c r="K23" s="180">
        <f>J23/H23</f>
        <v>8.4126297546665789</v>
      </c>
      <c r="L23" s="181">
        <f>+IF(E23="Weekdays",K23/$G$77,IF(E23="Saturdays",K23/$G$78,IF(E23="Sundays",K23/$G$79,"NA")))</f>
        <v>0.63278595481375099</v>
      </c>
      <c r="M23" s="189">
        <f>G23/F23</f>
        <v>0.12316364170543416</v>
      </c>
      <c r="N23" s="181">
        <f>+IF(E23="Weekdays",M23/$G$83,IF(E23="Saturdays",M23/$G$84,IF(E23="Sundays",M23/$G$85,"NA")))</f>
        <v>1.5874504008229404</v>
      </c>
      <c r="O23" s="192">
        <f>H23/I23</f>
        <v>10.387768721102054</v>
      </c>
      <c r="P23" s="193"/>
    </row>
    <row r="24" spans="1:16" x14ac:dyDescent="0.25">
      <c r="A24" s="174" t="s">
        <v>117</v>
      </c>
      <c r="B24" s="191">
        <v>68</v>
      </c>
      <c r="C24" s="191" t="s">
        <v>100</v>
      </c>
      <c r="D24" s="177" t="s">
        <v>17</v>
      </c>
      <c r="E24" s="176" t="s">
        <v>27</v>
      </c>
      <c r="F24" s="185">
        <v>7802026.5999999996</v>
      </c>
      <c r="G24" s="185">
        <v>438191.07</v>
      </c>
      <c r="H24" s="186">
        <v>500001.3</v>
      </c>
      <c r="I24" s="187">
        <v>26214.68</v>
      </c>
      <c r="J24" s="185">
        <f>F24-G24</f>
        <v>7363835.5299999993</v>
      </c>
      <c r="K24" s="180">
        <f>J24/H24</f>
        <v>14.727632768154802</v>
      </c>
      <c r="L24" s="181">
        <f>+IF(E24="Weekdays",K24/$G$77,IF(E24="Saturdays",K24/$G$78,IF(E24="Sundays",K24/$G$79,"NA")))</f>
        <v>1.1077914320636215</v>
      </c>
      <c r="M24" s="189">
        <f>G24/F24</f>
        <v>5.616374981341387E-2</v>
      </c>
      <c r="N24" s="181">
        <f>+IF(E24="Weekdays",M24/$G$83,IF(E24="Saturdays",M24/$G$84,IF(E24="Sundays",M24/$G$85,"NA")))</f>
        <v>0.72389193692613463</v>
      </c>
      <c r="O24" s="192">
        <f>H24/I24</f>
        <v>19.073332194022584</v>
      </c>
      <c r="P24" s="145"/>
    </row>
    <row r="25" spans="1:16" x14ac:dyDescent="0.25">
      <c r="A25" s="174" t="s">
        <v>117</v>
      </c>
      <c r="B25" s="191">
        <v>70</v>
      </c>
      <c r="C25" s="191" t="s">
        <v>100</v>
      </c>
      <c r="D25" s="177" t="s">
        <v>17</v>
      </c>
      <c r="E25" s="176" t="s">
        <v>27</v>
      </c>
      <c r="F25" s="185">
        <v>357576</v>
      </c>
      <c r="G25" s="185">
        <v>51475.42</v>
      </c>
      <c r="H25" s="186">
        <v>39291</v>
      </c>
      <c r="I25" s="187">
        <v>3432.24</v>
      </c>
      <c r="J25" s="185">
        <f>F25-G25</f>
        <v>306100.58</v>
      </c>
      <c r="K25" s="180">
        <f>J25/H25</f>
        <v>7.7906029370593775</v>
      </c>
      <c r="L25" s="181">
        <f>+IF(E25="Weekdays",K25/$G$77,IF(E25="Saturdays",K25/$G$78,IF(E25="Sundays",K25/$G$79,"NA")))</f>
        <v>0.58599798896026833</v>
      </c>
      <c r="M25" s="189">
        <f>G25/F25</f>
        <v>0.14395658545316239</v>
      </c>
      <c r="N25" s="181">
        <f>+IF(E25="Weekdays",M25/$G$83,IF(E25="Saturdays",M25/$G$84,IF(E25="Sundays",M25/$G$85,"NA")))</f>
        <v>1.8554496774728098</v>
      </c>
      <c r="O25" s="192">
        <f>H25/I25</f>
        <v>11.447626040137054</v>
      </c>
      <c r="P25" s="193"/>
    </row>
    <row r="26" spans="1:16" x14ac:dyDescent="0.25">
      <c r="A26" s="174" t="s">
        <v>117</v>
      </c>
      <c r="B26" s="227">
        <v>71</v>
      </c>
      <c r="C26" s="227" t="s">
        <v>100</v>
      </c>
      <c r="D26" s="177" t="s">
        <v>17</v>
      </c>
      <c r="E26" s="177" t="s">
        <v>27</v>
      </c>
      <c r="F26" s="185">
        <v>4576478.3099999996</v>
      </c>
      <c r="G26" s="185">
        <v>170426.86</v>
      </c>
      <c r="H26" s="228">
        <v>179902.81</v>
      </c>
      <c r="I26" s="228">
        <v>14049.84</v>
      </c>
      <c r="J26" s="185">
        <f>F26-G26</f>
        <v>4406051.4499999993</v>
      </c>
      <c r="K26" s="180">
        <f>J26/H26</f>
        <v>24.49128754575873</v>
      </c>
      <c r="L26" s="181">
        <f>+IF(E26="Weekdays",K26/$G$77,IF(E26="Saturdays",K26/$G$78,IF(E26="Sundays",K26/$G$79,"NA")))</f>
        <v>1.842199553078429</v>
      </c>
      <c r="M26" s="189">
        <f>G26/F26</f>
        <v>3.7239739479940852E-2</v>
      </c>
      <c r="N26" s="181">
        <f>+IF(E26="Weekdays",M26/$G$83,IF(E26="Saturdays",M26/$G$84,IF(E26="Sundays",M26/$G$85,"NA")))</f>
        <v>0.47998125538833991</v>
      </c>
      <c r="O26" s="192">
        <f>H26/I26</f>
        <v>12.804616280327748</v>
      </c>
      <c r="P26" s="145"/>
    </row>
    <row r="27" spans="1:16" x14ac:dyDescent="0.25">
      <c r="A27" s="174" t="s">
        <v>117</v>
      </c>
      <c r="B27" s="191">
        <v>74</v>
      </c>
      <c r="C27" s="191" t="s">
        <v>100</v>
      </c>
      <c r="D27" s="177" t="s">
        <v>17</v>
      </c>
      <c r="E27" s="176" t="s">
        <v>27</v>
      </c>
      <c r="F27" s="185">
        <v>8322931.4900000002</v>
      </c>
      <c r="G27" s="185">
        <v>647920.85</v>
      </c>
      <c r="H27" s="186">
        <v>586858.97</v>
      </c>
      <c r="I27" s="187">
        <v>28077.14</v>
      </c>
      <c r="J27" s="185">
        <f>F27-G27</f>
        <v>7675010.6400000006</v>
      </c>
      <c r="K27" s="180">
        <f>J27/H27</f>
        <v>13.078117626795414</v>
      </c>
      <c r="L27" s="181">
        <f>+IF(E27="Weekdays",K27/$G$77,IF(E27="Saturdays",K27/$G$78,IF(E27="Sundays",K27/$G$79,"NA")))</f>
        <v>0.98371726689239936</v>
      </c>
      <c r="M27" s="189">
        <f>G27/F27</f>
        <v>7.7847673115954003E-2</v>
      </c>
      <c r="N27" s="181">
        <f>+IF(E27="Weekdays",M27/$G$83,IF(E27="Saturdays",M27/$G$84,IF(E27="Sundays",M27/$G$85,"NA")))</f>
        <v>1.0033750072656542</v>
      </c>
      <c r="O27" s="192">
        <f>H27/I27</f>
        <v>20.901664841931904</v>
      </c>
      <c r="P27" s="145"/>
    </row>
    <row r="28" spans="1:16" x14ac:dyDescent="0.25">
      <c r="A28" s="174" t="s">
        <v>117</v>
      </c>
      <c r="B28" s="340">
        <v>75</v>
      </c>
      <c r="C28" s="340" t="s">
        <v>100</v>
      </c>
      <c r="D28" s="341" t="s">
        <v>17</v>
      </c>
      <c r="E28" s="342" t="s">
        <v>27</v>
      </c>
      <c r="F28" s="343">
        <v>597583</v>
      </c>
      <c r="G28" s="343">
        <v>74289.06</v>
      </c>
      <c r="H28" s="344">
        <v>66808</v>
      </c>
      <c r="I28" s="345">
        <v>5649.84</v>
      </c>
      <c r="J28" s="343">
        <f>F28-G28</f>
        <v>523293.94</v>
      </c>
      <c r="K28" s="346">
        <f>J28/H28</f>
        <v>7.8328035564603038</v>
      </c>
      <c r="L28" s="181">
        <f>+IF(E28="Weekdays",K28/$G$77,IF(E28="Saturdays",K28/$G$78,IF(E28="Sundays",K28/$G$79,"NA")))</f>
        <v>0.58917225907794868</v>
      </c>
      <c r="M28" s="189">
        <f>G28/F28</f>
        <v>0.12431588582673871</v>
      </c>
      <c r="N28" s="181">
        <f>+IF(E28="Weekdays",M28/$G$83,IF(E28="Saturdays",M28/$G$84,IF(E28="Sundays",M28/$G$85,"NA")))</f>
        <v>1.6023016212552288</v>
      </c>
      <c r="O28" s="347">
        <f>H28/I28</f>
        <v>11.824759639211022</v>
      </c>
      <c r="P28" s="193"/>
    </row>
    <row r="29" spans="1:16" x14ac:dyDescent="0.25">
      <c r="A29" s="174" t="s">
        <v>117</v>
      </c>
      <c r="B29" s="191">
        <v>2</v>
      </c>
      <c r="C29" s="191" t="s">
        <v>100</v>
      </c>
      <c r="D29" s="177" t="s">
        <v>17</v>
      </c>
      <c r="E29" s="176" t="s">
        <v>60</v>
      </c>
      <c r="F29" s="185">
        <v>1118261.44</v>
      </c>
      <c r="G29" s="185">
        <v>77884.460000000006</v>
      </c>
      <c r="H29" s="186">
        <v>102338.79</v>
      </c>
      <c r="I29" s="187">
        <v>3486.84</v>
      </c>
      <c r="J29" s="185">
        <f>F29-G29</f>
        <v>1040376.98</v>
      </c>
      <c r="K29" s="180">
        <f>J29/H29</f>
        <v>10.166008216434843</v>
      </c>
      <c r="L29" s="181">
        <f>+IF(E29="Weekdays",K29/$G$77,IF(E29="Saturdays",K29/$G$78,IF(E29="Sundays",K29/$G$79,"NA")))</f>
        <v>0.64614510852008011</v>
      </c>
      <c r="M29" s="189">
        <f>G29/F29</f>
        <v>6.9647809728644497E-2</v>
      </c>
      <c r="N29" s="181">
        <f>+IF(E29="Weekdays",M29/$G$83,IF(E29="Saturdays",M29/$G$84,IF(E29="Sundays",M29/$G$85,"NA")))</f>
        <v>1.4328526377065671</v>
      </c>
      <c r="O29" s="192">
        <f>H29/I29</f>
        <v>29.350010324534534</v>
      </c>
      <c r="P29" s="193"/>
    </row>
    <row r="30" spans="1:16" x14ac:dyDescent="0.25">
      <c r="A30" s="174" t="s">
        <v>117</v>
      </c>
      <c r="B30" s="191">
        <v>3</v>
      </c>
      <c r="C30" s="191" t="s">
        <v>100</v>
      </c>
      <c r="D30" s="177" t="s">
        <v>17</v>
      </c>
      <c r="E30" s="176" t="s">
        <v>60</v>
      </c>
      <c r="F30" s="185">
        <v>1185659.57</v>
      </c>
      <c r="G30" s="185">
        <v>71287.320000000007</v>
      </c>
      <c r="H30" s="186">
        <v>83774.28</v>
      </c>
      <c r="I30" s="187">
        <v>3983.63</v>
      </c>
      <c r="J30" s="185">
        <f>F30-G30</f>
        <v>1114372.25</v>
      </c>
      <c r="K30" s="180">
        <f>J30/H30</f>
        <v>13.302080901202613</v>
      </c>
      <c r="L30" s="181">
        <f>+IF(E30="Weekdays",K30/$G$77,IF(E30="Saturdays",K30/$G$78,IF(E30="Sundays",K30/$G$79,"NA")))</f>
        <v>0.84547192216068145</v>
      </c>
      <c r="M30" s="189">
        <f>G30/F30</f>
        <v>6.0124610641821924E-2</v>
      </c>
      <c r="N30" s="181">
        <f>+IF(E30="Weekdays",M30/$G$83,IF(E30="Saturdays",M30/$G$84,IF(E30="Sundays",M30/$G$85,"NA")))</f>
        <v>1.2369334697654324</v>
      </c>
      <c r="O30" s="192">
        <f>H30/I30</f>
        <v>21.029633776229218</v>
      </c>
      <c r="P30" s="145"/>
    </row>
    <row r="31" spans="1:16" x14ac:dyDescent="0.25">
      <c r="A31" s="174" t="s">
        <v>117</v>
      </c>
      <c r="B31" s="191">
        <v>4</v>
      </c>
      <c r="C31" s="191" t="s">
        <v>100</v>
      </c>
      <c r="D31" s="177" t="s">
        <v>17</v>
      </c>
      <c r="E31" s="176" t="s">
        <v>60</v>
      </c>
      <c r="F31" s="185">
        <v>1495604.42</v>
      </c>
      <c r="G31" s="185">
        <v>74563.08</v>
      </c>
      <c r="H31" s="186">
        <v>80180.45</v>
      </c>
      <c r="I31" s="187">
        <v>4861.68</v>
      </c>
      <c r="J31" s="185">
        <f>F31-G31</f>
        <v>1421041.3399999999</v>
      </c>
      <c r="K31" s="180">
        <f>J31/H31</f>
        <v>17.723040217409604</v>
      </c>
      <c r="L31" s="181">
        <f>+IF(E31="Weekdays",K31/$G$77,IF(E31="Saturdays",K31/$G$78,IF(E31="Sundays",K31/$G$79,"NA")))</f>
        <v>1.1264653245184861</v>
      </c>
      <c r="M31" s="189">
        <f>G31/F31</f>
        <v>4.9854813881868583E-2</v>
      </c>
      <c r="N31" s="181">
        <f>+IF(E31="Weekdays",M31/$G$83,IF(E31="Saturdays",M31/$G$84,IF(E31="Sundays",M31/$G$85,"NA")))</f>
        <v>1.0256546738701824</v>
      </c>
      <c r="O31" s="192">
        <f>H31/I31</f>
        <v>16.492333925721148</v>
      </c>
      <c r="P31" s="145"/>
    </row>
    <row r="32" spans="1:16" x14ac:dyDescent="0.25">
      <c r="A32" s="174" t="s">
        <v>117</v>
      </c>
      <c r="B32" s="191">
        <v>6</v>
      </c>
      <c r="C32" s="191" t="s">
        <v>100</v>
      </c>
      <c r="D32" s="177" t="s">
        <v>17</v>
      </c>
      <c r="E32" s="176" t="s">
        <v>60</v>
      </c>
      <c r="F32" s="185">
        <v>2244466.08</v>
      </c>
      <c r="G32" s="185">
        <v>98308.07</v>
      </c>
      <c r="H32" s="186">
        <v>111897.49</v>
      </c>
      <c r="I32" s="187">
        <v>7424.4</v>
      </c>
      <c r="J32" s="185">
        <f>F32-G32</f>
        <v>2146158.0100000002</v>
      </c>
      <c r="K32" s="180">
        <f>J32/H32</f>
        <v>19.179679633564614</v>
      </c>
      <c r="L32" s="181">
        <f>+IF(E32="Weekdays",K32/$G$77,IF(E32="Saturdays",K32/$G$78,IF(E32="Sundays",K32/$G$79,"NA")))</f>
        <v>1.2190484125494909</v>
      </c>
      <c r="M32" s="189">
        <f>G32/F32</f>
        <v>4.3800203030914149E-2</v>
      </c>
      <c r="N32" s="181">
        <f>+IF(E32="Weekdays",M32/$G$83,IF(E32="Saturdays",M32/$G$84,IF(E32="Sundays",M32/$G$85,"NA")))</f>
        <v>0.90109418644240769</v>
      </c>
      <c r="O32" s="192">
        <f>H32/I32</f>
        <v>15.071586929583537</v>
      </c>
      <c r="P32" s="145"/>
    </row>
    <row r="33" spans="1:16" x14ac:dyDescent="0.25">
      <c r="A33" s="174" t="s">
        <v>117</v>
      </c>
      <c r="B33" s="191">
        <v>7</v>
      </c>
      <c r="C33" s="191" t="s">
        <v>100</v>
      </c>
      <c r="D33" s="177" t="s">
        <v>17</v>
      </c>
      <c r="E33" s="176" t="s">
        <v>60</v>
      </c>
      <c r="F33" s="185">
        <v>598269.9</v>
      </c>
      <c r="G33" s="185">
        <v>19884.439999999999</v>
      </c>
      <c r="H33" s="186">
        <v>23053.95</v>
      </c>
      <c r="I33" s="187">
        <v>1873.4</v>
      </c>
      <c r="J33" s="185">
        <f>F33-G33</f>
        <v>578385.46000000008</v>
      </c>
      <c r="K33" s="180">
        <f>J33/H33</f>
        <v>25.088345381160281</v>
      </c>
      <c r="L33" s="181">
        <f>+IF(E33="Weekdays",K33/$G$77,IF(E33="Saturdays",K33/$G$78,IF(E33="Sundays",K33/$G$79,"NA")))</f>
        <v>1.5945995029486664</v>
      </c>
      <c r="M33" s="189">
        <f>G33/F33</f>
        <v>3.3236570985770798E-2</v>
      </c>
      <c r="N33" s="181">
        <f>+IF(E33="Weekdays",M33/$G$83,IF(E33="Saturdays",M33/$G$84,IF(E33="Sundays",M33/$G$85,"NA")))</f>
        <v>0.6837703668044709</v>
      </c>
      <c r="O33" s="192">
        <f>H33/I33</f>
        <v>12.305941069712821</v>
      </c>
      <c r="P33" s="145"/>
    </row>
    <row r="34" spans="1:16" x14ac:dyDescent="0.25">
      <c r="A34" s="174" t="s">
        <v>117</v>
      </c>
      <c r="B34" s="227">
        <v>9</v>
      </c>
      <c r="C34" s="227" t="s">
        <v>100</v>
      </c>
      <c r="D34" s="177" t="s">
        <v>17</v>
      </c>
      <c r="E34" s="177" t="s">
        <v>60</v>
      </c>
      <c r="F34" s="185">
        <v>706072.29</v>
      </c>
      <c r="G34" s="185">
        <v>25643.919999999998</v>
      </c>
      <c r="H34" s="228">
        <v>31054.39</v>
      </c>
      <c r="I34" s="187">
        <v>2122.8000000000002</v>
      </c>
      <c r="J34" s="185">
        <f>F34-G34</f>
        <v>680428.37</v>
      </c>
      <c r="K34" s="180">
        <f>J34/H34</f>
        <v>21.910859302018171</v>
      </c>
      <c r="L34" s="181">
        <f>+IF(E34="Weekdays",K34/$G$77,IF(E34="Saturdays",K34/$G$78,IF(E34="Sundays",K34/$G$79,"NA")))</f>
        <v>1.3926404799263206</v>
      </c>
      <c r="M34" s="189">
        <f>G34/F34</f>
        <v>3.6319114010266565E-2</v>
      </c>
      <c r="N34" s="181">
        <f>+IF(E34="Weekdays",M34/$G$83,IF(E34="Saturdays",M34/$G$84,IF(E34="Sundays",M34/$G$85,"NA")))</f>
        <v>0.74718700432259522</v>
      </c>
      <c r="O34" s="192">
        <f>H34/I34</f>
        <v>14.628975880912002</v>
      </c>
      <c r="P34" s="145"/>
    </row>
    <row r="35" spans="1:16" x14ac:dyDescent="0.25">
      <c r="A35" s="174" t="s">
        <v>117</v>
      </c>
      <c r="B35" s="191">
        <v>10</v>
      </c>
      <c r="C35" s="191" t="s">
        <v>100</v>
      </c>
      <c r="D35" s="177" t="s">
        <v>17</v>
      </c>
      <c r="E35" s="176" t="s">
        <v>60</v>
      </c>
      <c r="F35" s="185">
        <v>1555511.7</v>
      </c>
      <c r="G35" s="185">
        <v>90358.15</v>
      </c>
      <c r="H35" s="186">
        <v>132800.94</v>
      </c>
      <c r="I35" s="187">
        <v>4848.55</v>
      </c>
      <c r="J35" s="185">
        <f>F35-G35</f>
        <v>1465153.55</v>
      </c>
      <c r="K35" s="180">
        <f>J35/H35</f>
        <v>11.032704663084463</v>
      </c>
      <c r="L35" s="181">
        <f>+IF(E35="Weekdays",K35/$G$77,IF(E35="Saturdays",K35/$G$78,IF(E35="Sundays",K35/$G$79,"NA")))</f>
        <v>0.70123179128205593</v>
      </c>
      <c r="M35" s="189">
        <f>G35/F35</f>
        <v>5.8089019838295008E-2</v>
      </c>
      <c r="N35" s="181">
        <f>+IF(E35="Weekdays",M35/$G$83,IF(E35="Saturdays",M35/$G$84,IF(E35="Sundays",M35/$G$85,"NA")))</f>
        <v>1.1950556036345583</v>
      </c>
      <c r="O35" s="192">
        <f>H35/I35</f>
        <v>27.389825824215485</v>
      </c>
      <c r="P35" s="193"/>
    </row>
    <row r="36" spans="1:16" x14ac:dyDescent="0.25">
      <c r="A36" s="174" t="s">
        <v>117</v>
      </c>
      <c r="B36" s="191">
        <v>11</v>
      </c>
      <c r="C36" s="191" t="s">
        <v>100</v>
      </c>
      <c r="D36" s="177" t="s">
        <v>17</v>
      </c>
      <c r="E36" s="176" t="s">
        <v>60</v>
      </c>
      <c r="F36" s="185">
        <v>1071279.7</v>
      </c>
      <c r="G36" s="185">
        <v>51427.5</v>
      </c>
      <c r="H36" s="186">
        <v>64650.66</v>
      </c>
      <c r="I36" s="187">
        <v>3601.8</v>
      </c>
      <c r="J36" s="185">
        <f>F36-G36</f>
        <v>1019852.2</v>
      </c>
      <c r="K36" s="180">
        <f>J36/H36</f>
        <v>15.774814982553927</v>
      </c>
      <c r="L36" s="181">
        <f>+IF(E36="Weekdays",K36/$G$77,IF(E36="Saturdays",K36/$G$78,IF(E36="Sundays",K36/$G$79,"NA")))</f>
        <v>1.0026373500572532</v>
      </c>
      <c r="M36" s="189">
        <f>G36/F36</f>
        <v>4.800567022785926E-2</v>
      </c>
      <c r="N36" s="181">
        <f>+IF(E36="Weekdays",M36/$G$83,IF(E36="Saturdays",M36/$G$84,IF(E36="Sundays",M36/$G$85,"NA")))</f>
        <v>0.98761255348666188</v>
      </c>
      <c r="O36" s="192">
        <f>H36/I36</f>
        <v>17.949541895718806</v>
      </c>
      <c r="P36" s="145"/>
    </row>
    <row r="37" spans="1:16" x14ac:dyDescent="0.25">
      <c r="A37" s="174" t="s">
        <v>117</v>
      </c>
      <c r="B37" s="227">
        <v>14</v>
      </c>
      <c r="C37" s="227" t="s">
        <v>100</v>
      </c>
      <c r="D37" s="177" t="s">
        <v>17</v>
      </c>
      <c r="E37" s="177" t="s">
        <v>60</v>
      </c>
      <c r="F37" s="185">
        <v>1562599.98</v>
      </c>
      <c r="G37" s="185">
        <v>63199.17</v>
      </c>
      <c r="H37" s="228">
        <v>81925.08</v>
      </c>
      <c r="I37" s="187">
        <v>5141.7</v>
      </c>
      <c r="J37" s="185">
        <f>F37-G37</f>
        <v>1499400.81</v>
      </c>
      <c r="K37" s="180">
        <f>J37/H37</f>
        <v>18.302097599416442</v>
      </c>
      <c r="L37" s="181">
        <f>+IF(E37="Weekdays",K37/$G$77,IF(E37="Saturdays",K37/$G$78,IF(E37="Sundays",K37/$G$79,"NA")))</f>
        <v>1.1632698486709736</v>
      </c>
      <c r="M37" s="189">
        <f>G37/F37</f>
        <v>4.0444880845320372E-2</v>
      </c>
      <c r="N37" s="181">
        <f>+IF(E37="Weekdays",M37/$G$83,IF(E37="Saturdays",M37/$G$84,IF(E37="Sundays",M37/$G$85,"NA")))</f>
        <v>0.83206570926969159</v>
      </c>
      <c r="O37" s="192">
        <f>H37/I37</f>
        <v>15.933461695548166</v>
      </c>
      <c r="P37" s="145"/>
    </row>
    <row r="38" spans="1:16" x14ac:dyDescent="0.25">
      <c r="A38" s="174" t="s">
        <v>117</v>
      </c>
      <c r="B38" s="191">
        <v>17</v>
      </c>
      <c r="C38" s="191" t="s">
        <v>100</v>
      </c>
      <c r="D38" s="177" t="s">
        <v>17</v>
      </c>
      <c r="E38" s="176" t="s">
        <v>60</v>
      </c>
      <c r="F38" s="185">
        <v>1518306.38</v>
      </c>
      <c r="G38" s="185">
        <v>68684.639999999999</v>
      </c>
      <c r="H38" s="186">
        <v>88592.98</v>
      </c>
      <c r="I38" s="187">
        <v>4990.05</v>
      </c>
      <c r="J38" s="185">
        <f>F38-G38</f>
        <v>1449621.74</v>
      </c>
      <c r="K38" s="180">
        <f>J38/H38</f>
        <v>16.362715646318705</v>
      </c>
      <c r="L38" s="181">
        <f>+IF(E38="Weekdays",K38/$G$77,IF(E38="Saturdays",K38/$G$78,IF(E38="Sundays",K38/$G$79,"NA")))</f>
        <v>1.0400039476538598</v>
      </c>
      <c r="M38" s="189">
        <f>G38/F38</f>
        <v>4.5237668039042292E-2</v>
      </c>
      <c r="N38" s="181">
        <f>+IF(E38="Weekdays",M38/$G$83,IF(E38="Saturdays",M38/$G$84,IF(E38="Sundays",M38/$G$85,"NA")))</f>
        <v>0.93066691150773306</v>
      </c>
      <c r="O38" s="192">
        <f>H38/I38</f>
        <v>17.753926313363593</v>
      </c>
      <c r="P38" s="145"/>
    </row>
    <row r="39" spans="1:16" x14ac:dyDescent="0.25">
      <c r="A39" s="174" t="s">
        <v>117</v>
      </c>
      <c r="B39" s="191">
        <v>18</v>
      </c>
      <c r="C39" s="191" t="s">
        <v>100</v>
      </c>
      <c r="D39" s="177" t="s">
        <v>17</v>
      </c>
      <c r="E39" s="176" t="s">
        <v>60</v>
      </c>
      <c r="F39" s="185">
        <v>2224443.59</v>
      </c>
      <c r="G39" s="185">
        <v>127120.95</v>
      </c>
      <c r="H39" s="186">
        <v>176698.28</v>
      </c>
      <c r="I39" s="187">
        <v>7313.54</v>
      </c>
      <c r="J39" s="185">
        <f>F39-G39</f>
        <v>2097322.6399999997</v>
      </c>
      <c r="K39" s="180">
        <f>J39/H39</f>
        <v>11.869513613828044</v>
      </c>
      <c r="L39" s="181">
        <f>+IF(E39="Weekdays",K39/$G$77,IF(E39="Saturdays",K39/$G$78,IF(E39="Sundays",K39/$G$79,"NA")))</f>
        <v>0.75441884354261435</v>
      </c>
      <c r="M39" s="189">
        <f>G39/F39</f>
        <v>5.7147302170966724E-2</v>
      </c>
      <c r="N39" s="181">
        <f>+IF(E39="Weekdays",M39/$G$83,IF(E39="Saturdays",M39/$G$84,IF(E39="Sundays",M39/$G$85,"NA")))</f>
        <v>1.1756818049628788</v>
      </c>
      <c r="O39" s="192">
        <f>H39/I39</f>
        <v>24.160431200212209</v>
      </c>
      <c r="P39" s="193"/>
    </row>
    <row r="40" spans="1:16" x14ac:dyDescent="0.25">
      <c r="A40" s="174" t="s">
        <v>117</v>
      </c>
      <c r="B40" s="191">
        <v>21</v>
      </c>
      <c r="C40" s="191" t="s">
        <v>100</v>
      </c>
      <c r="D40" s="177" t="s">
        <v>17</v>
      </c>
      <c r="E40" s="176" t="s">
        <v>60</v>
      </c>
      <c r="F40" s="185">
        <v>3878515.87</v>
      </c>
      <c r="G40" s="185">
        <v>189302.64</v>
      </c>
      <c r="H40" s="186">
        <v>277278.98</v>
      </c>
      <c r="I40" s="187">
        <v>12854.37</v>
      </c>
      <c r="J40" s="185">
        <f>F40-G40</f>
        <v>3689213.23</v>
      </c>
      <c r="K40" s="180">
        <f>J40/H40</f>
        <v>13.305059150174312</v>
      </c>
      <c r="L40" s="181">
        <f>+IF(E40="Weekdays",K40/$G$77,IF(E40="Saturdays",K40/$G$78,IF(E40="Sundays",K40/$G$79,"NA")))</f>
        <v>0.84566121779806902</v>
      </c>
      <c r="M40" s="189">
        <f>G40/F40</f>
        <v>4.8808009647257164E-2</v>
      </c>
      <c r="N40" s="181">
        <f>+IF(E40="Weekdays",M40/$G$83,IF(E40="Saturdays",M40/$G$84,IF(E40="Sundays",M40/$G$85,"NA")))</f>
        <v>1.0041189469812934</v>
      </c>
      <c r="O40" s="192">
        <f>H40/I40</f>
        <v>21.570794990341803</v>
      </c>
      <c r="P40" s="193"/>
    </row>
    <row r="41" spans="1:16" x14ac:dyDescent="0.25">
      <c r="A41" s="174" t="s">
        <v>117</v>
      </c>
      <c r="B41" s="191">
        <v>22</v>
      </c>
      <c r="C41" s="191" t="s">
        <v>100</v>
      </c>
      <c r="D41" s="177" t="s">
        <v>17</v>
      </c>
      <c r="E41" s="176" t="s">
        <v>60</v>
      </c>
      <c r="F41" s="185">
        <v>1465084.79</v>
      </c>
      <c r="G41" s="185">
        <v>54936.26</v>
      </c>
      <c r="H41" s="186">
        <v>69623.63</v>
      </c>
      <c r="I41" s="187">
        <v>5204.43</v>
      </c>
      <c r="J41" s="185">
        <f>F41-G41</f>
        <v>1410148.53</v>
      </c>
      <c r="K41" s="180">
        <f>J41/H41</f>
        <v>20.253878316887526</v>
      </c>
      <c r="L41" s="181">
        <f>+IF(E41="Weekdays",K41/$G$77,IF(E41="Saturdays",K41/$G$78,IF(E41="Sundays",K41/$G$79,"NA")))</f>
        <v>1.2873238073780842</v>
      </c>
      <c r="M41" s="189">
        <f>G41/F41</f>
        <v>3.7496983365720424E-2</v>
      </c>
      <c r="N41" s="181">
        <f>+IF(E41="Weekdays",M41/$G$83,IF(E41="Saturdays",M41/$G$84,IF(E41="Sundays",M41/$G$85,"NA")))</f>
        <v>0.77141911182764544</v>
      </c>
      <c r="O41" s="192">
        <f>H41/I41</f>
        <v>13.377762790545747</v>
      </c>
      <c r="P41" s="146"/>
    </row>
    <row r="42" spans="1:16" x14ac:dyDescent="0.25">
      <c r="A42" s="174" t="s">
        <v>117</v>
      </c>
      <c r="B42" s="191">
        <v>54</v>
      </c>
      <c r="C42" s="191" t="s">
        <v>100</v>
      </c>
      <c r="D42" s="177" t="s">
        <v>17</v>
      </c>
      <c r="E42" s="176" t="s">
        <v>60</v>
      </c>
      <c r="F42" s="185">
        <v>1163368.8400000001</v>
      </c>
      <c r="G42" s="185">
        <v>94271.6</v>
      </c>
      <c r="H42" s="186">
        <v>101415.22</v>
      </c>
      <c r="I42" s="187">
        <v>3843.35</v>
      </c>
      <c r="J42" s="185">
        <f>F42-G42</f>
        <v>1069097.24</v>
      </c>
      <c r="K42" s="180">
        <f>J42/H42</f>
        <v>10.541782978925648</v>
      </c>
      <c r="L42" s="181">
        <f>+IF(E42="Weekdays",K42/$G$77,IF(E42="Saturdays",K42/$G$78,IF(E42="Sundays",K42/$G$79,"NA")))</f>
        <v>0.67002911682691957</v>
      </c>
      <c r="M42" s="189">
        <f>G42/F42</f>
        <v>8.1033286055693224E-2</v>
      </c>
      <c r="N42" s="181">
        <f>+IF(E42="Weekdays",M42/$G$83,IF(E42="Saturdays",M42/$G$84,IF(E42="Sundays",M42/$G$85,"NA")))</f>
        <v>1.6670841210843999</v>
      </c>
      <c r="O42" s="192">
        <f>H42/I42</f>
        <v>26.387193464035281</v>
      </c>
      <c r="P42" s="193"/>
    </row>
    <row r="43" spans="1:16" x14ac:dyDescent="0.25">
      <c r="A43" s="174" t="s">
        <v>117</v>
      </c>
      <c r="B43" s="191">
        <v>62</v>
      </c>
      <c r="C43" s="191" t="s">
        <v>100</v>
      </c>
      <c r="D43" s="177" t="s">
        <v>17</v>
      </c>
      <c r="E43" s="176" t="s">
        <v>60</v>
      </c>
      <c r="F43" s="185">
        <v>675602.44</v>
      </c>
      <c r="G43" s="185">
        <v>0</v>
      </c>
      <c r="H43" s="186">
        <v>63071.7</v>
      </c>
      <c r="I43" s="187">
        <v>2094.5500000000002</v>
      </c>
      <c r="J43" s="185">
        <f>F43-G43</f>
        <v>675602.44</v>
      </c>
      <c r="K43" s="180">
        <f>J43/H43</f>
        <v>10.711657367725937</v>
      </c>
      <c r="L43" s="181">
        <f>+IF(E43="Weekdays",K43/$G$77,IF(E43="Saturdays",K43/$G$78,IF(E43="Sundays",K43/$G$79,"NA")))</f>
        <v>0.68082622647401747</v>
      </c>
      <c r="M43" s="189">
        <f>G43/F43</f>
        <v>0</v>
      </c>
      <c r="N43" s="181">
        <f>+IF(E43="Weekdays",M43/$G$83,IF(E43="Saturdays",M43/$G$84,IF(E43="Sundays",M43/$G$85,"NA")))</f>
        <v>0</v>
      </c>
      <c r="O43" s="192">
        <f>H43/I43</f>
        <v>30.112291422978679</v>
      </c>
      <c r="P43" s="193" t="s">
        <v>118</v>
      </c>
    </row>
    <row r="44" spans="1:16" x14ac:dyDescent="0.25">
      <c r="A44" s="174" t="s">
        <v>117</v>
      </c>
      <c r="B44" s="191">
        <v>63</v>
      </c>
      <c r="C44" s="191" t="s">
        <v>100</v>
      </c>
      <c r="D44" s="177" t="s">
        <v>17</v>
      </c>
      <c r="E44" s="176" t="s">
        <v>60</v>
      </c>
      <c r="F44" s="185">
        <v>1536523.78</v>
      </c>
      <c r="G44" s="185">
        <v>68245.570000000007</v>
      </c>
      <c r="H44" s="186">
        <v>84818.99</v>
      </c>
      <c r="I44" s="187">
        <v>4698.7299999999996</v>
      </c>
      <c r="J44" s="185">
        <f>F44-G44</f>
        <v>1468278.21</v>
      </c>
      <c r="K44" s="180">
        <f>J44/H44</f>
        <v>17.310724992127351</v>
      </c>
      <c r="L44" s="181">
        <f>+IF(E44="Weekdays",K44/$G$77,IF(E44="Saturdays",K44/$G$78,IF(E44="Sundays",K44/$G$79,"NA")))</f>
        <v>1.1002588273061602</v>
      </c>
      <c r="M44" s="189">
        <f>G44/F44</f>
        <v>4.441556381249108E-2</v>
      </c>
      <c r="N44" s="181">
        <f>+IF(E44="Weekdays",M44/$G$83,IF(E44="Saturdays",M44/$G$84,IF(E44="Sundays",M44/$G$85,"NA")))</f>
        <v>0.91375389997049938</v>
      </c>
      <c r="O44" s="192">
        <f>H44/I44</f>
        <v>18.051471355025722</v>
      </c>
      <c r="P44" s="145"/>
    </row>
    <row r="45" spans="1:16" x14ac:dyDescent="0.25">
      <c r="A45" s="174" t="s">
        <v>117</v>
      </c>
      <c r="B45" s="227">
        <v>64</v>
      </c>
      <c r="C45" s="227" t="s">
        <v>100</v>
      </c>
      <c r="D45" s="177" t="s">
        <v>17</v>
      </c>
      <c r="E45" s="176" t="s">
        <v>60</v>
      </c>
      <c r="F45" s="185">
        <v>1199277.72</v>
      </c>
      <c r="G45" s="185">
        <v>82466.06</v>
      </c>
      <c r="H45" s="228">
        <v>107691.74</v>
      </c>
      <c r="I45" s="187">
        <v>4080.3</v>
      </c>
      <c r="J45" s="185">
        <f>F45-G45</f>
        <v>1116811.6599999999</v>
      </c>
      <c r="K45" s="180">
        <f>J45/H45</f>
        <v>10.370448652793611</v>
      </c>
      <c r="L45" s="181">
        <f>+IF(E45="Weekdays",K45/$G$77,IF(E45="Saturdays",K45/$G$78,IF(E45="Sundays",K45/$G$79,"NA")))</f>
        <v>0.65913921447834334</v>
      </c>
      <c r="M45" s="189">
        <f>G45/F45</f>
        <v>6.8763105179674308E-2</v>
      </c>
      <c r="N45" s="181">
        <f>+IF(E45="Weekdays",M45/$G$83,IF(E45="Saturdays",M45/$G$84,IF(E45="Sundays",M45/$G$85,"NA")))</f>
        <v>1.4146517602989095</v>
      </c>
      <c r="O45" s="192">
        <f>H45/I45</f>
        <v>26.393093645075115</v>
      </c>
      <c r="P45" s="193"/>
    </row>
    <row r="46" spans="1:16" x14ac:dyDescent="0.25">
      <c r="A46" s="174" t="s">
        <v>117</v>
      </c>
      <c r="B46" s="191">
        <v>67</v>
      </c>
      <c r="C46" s="191" t="s">
        <v>100</v>
      </c>
      <c r="D46" s="177" t="s">
        <v>17</v>
      </c>
      <c r="E46" s="176" t="s">
        <v>60</v>
      </c>
      <c r="F46" s="185">
        <v>185071</v>
      </c>
      <c r="G46" s="185">
        <v>11682.29</v>
      </c>
      <c r="H46" s="186">
        <v>11987</v>
      </c>
      <c r="I46" s="187">
        <v>1741.74</v>
      </c>
      <c r="J46" s="185">
        <f>F46-G46</f>
        <v>173388.71</v>
      </c>
      <c r="K46" s="180">
        <f>J46/H46</f>
        <v>14.464729290064236</v>
      </c>
      <c r="L46" s="181">
        <f>+IF(E46="Weekdays",K46/$G$77,IF(E46="Saturdays",K46/$G$78,IF(E46="Sundays",K46/$G$79,"NA")))</f>
        <v>0.91936912481857425</v>
      </c>
      <c r="M46" s="189">
        <f>G46/F46</f>
        <v>6.3123287819269361E-2</v>
      </c>
      <c r="N46" s="181">
        <f>+IF(E46="Weekdays",M46/$G$83,IF(E46="Saturdays",M46/$G$84,IF(E46="Sundays",M46/$G$85,"NA")))</f>
        <v>1.2986247493631156</v>
      </c>
      <c r="O46" s="192">
        <f>H46/I46</f>
        <v>6.8821982615086066</v>
      </c>
      <c r="P46" s="193"/>
    </row>
    <row r="47" spans="1:16" x14ac:dyDescent="0.25">
      <c r="A47" s="174" t="s">
        <v>117</v>
      </c>
      <c r="B47" s="191">
        <v>68</v>
      </c>
      <c r="C47" s="191" t="s">
        <v>100</v>
      </c>
      <c r="D47" s="177" t="s">
        <v>17</v>
      </c>
      <c r="E47" s="176" t="s">
        <v>60</v>
      </c>
      <c r="F47" s="185">
        <v>1317144.3700000001</v>
      </c>
      <c r="G47" s="185">
        <v>55274.31</v>
      </c>
      <c r="H47" s="186">
        <v>75882.55</v>
      </c>
      <c r="I47" s="187">
        <v>4280.3999999999996</v>
      </c>
      <c r="J47" s="185">
        <f>F47-G47</f>
        <v>1261870.06</v>
      </c>
      <c r="K47" s="180">
        <f>J47/H47</f>
        <v>16.62925217984899</v>
      </c>
      <c r="L47" s="181">
        <f>+IF(E47="Weekdays",K47/$G$77,IF(E47="Saturdays",K47/$G$78,IF(E47="Sundays",K47/$G$79,"NA")))</f>
        <v>1.0569448426163557</v>
      </c>
      <c r="M47" s="189">
        <f>G47/F47</f>
        <v>4.1965263078944028E-2</v>
      </c>
      <c r="N47" s="181">
        <f>+IF(E47="Weekdays",M47/$G$83,IF(E47="Saturdays",M47/$G$84,IF(E47="Sundays",M47/$G$85,"NA")))</f>
        <v>0.86334427642431522</v>
      </c>
      <c r="O47" s="192">
        <f>H47/I47</f>
        <v>17.727910942902536</v>
      </c>
      <c r="P47" s="145"/>
    </row>
    <row r="48" spans="1:16" x14ac:dyDescent="0.25">
      <c r="A48" s="174" t="s">
        <v>117</v>
      </c>
      <c r="B48" s="191">
        <v>70</v>
      </c>
      <c r="C48" s="191" t="s">
        <v>100</v>
      </c>
      <c r="D48" s="177" t="s">
        <v>17</v>
      </c>
      <c r="E48" s="176" t="s">
        <v>60</v>
      </c>
      <c r="F48" s="185">
        <v>46056</v>
      </c>
      <c r="G48" s="185">
        <v>2693.76</v>
      </c>
      <c r="H48" s="186">
        <v>2848</v>
      </c>
      <c r="I48" s="187">
        <v>436.16</v>
      </c>
      <c r="J48" s="185">
        <f>F48-G48</f>
        <v>43362.239999999998</v>
      </c>
      <c r="K48" s="180">
        <f>J48/H48</f>
        <v>15.225505617977527</v>
      </c>
      <c r="L48" s="181">
        <f>+IF(E48="Weekdays",K48/$G$77,IF(E48="Saturdays",K48/$G$78,IF(E48="Sundays",K48/$G$79,"NA")))</f>
        <v>0.96772359124172191</v>
      </c>
      <c r="M48" s="189">
        <f>G48/F48</f>
        <v>5.8488796248045864E-2</v>
      </c>
      <c r="N48" s="181">
        <f>+IF(E48="Weekdays",M48/$G$83,IF(E48="Saturdays",M48/$G$84,IF(E48="Sundays",M48/$G$85,"NA")))</f>
        <v>1.2032801362571368</v>
      </c>
      <c r="O48" s="192">
        <f>H48/I48</f>
        <v>6.5297138664710195</v>
      </c>
      <c r="P48" s="193"/>
    </row>
    <row r="49" spans="1:16" x14ac:dyDescent="0.25">
      <c r="A49" s="174" t="s">
        <v>117</v>
      </c>
      <c r="B49" s="191">
        <v>71</v>
      </c>
      <c r="C49" s="191" t="s">
        <v>100</v>
      </c>
      <c r="D49" s="177" t="s">
        <v>17</v>
      </c>
      <c r="E49" s="176" t="s">
        <v>60</v>
      </c>
      <c r="F49" s="185">
        <v>205767.76</v>
      </c>
      <c r="G49" s="185">
        <v>7393.73</v>
      </c>
      <c r="H49" s="186">
        <v>9767.85</v>
      </c>
      <c r="I49" s="187">
        <v>634.52</v>
      </c>
      <c r="J49" s="185">
        <f>F49-G49</f>
        <v>198374.03</v>
      </c>
      <c r="K49" s="180">
        <f>J49/H49</f>
        <v>20.308873498262155</v>
      </c>
      <c r="L49" s="181">
        <f>+IF(E49="Weekdays",K49/$G$77,IF(E49="Saturdays",K49/$G$78,IF(E49="Sundays",K49/$G$79,"NA")))</f>
        <v>1.2908192666262819</v>
      </c>
      <c r="M49" s="189">
        <f>G49/F49</f>
        <v>3.593240262711709E-2</v>
      </c>
      <c r="N49" s="181">
        <f>+IF(E49="Weekdays",M49/$G$83,IF(E49="Saturdays",M49/$G$84,IF(E49="Sundays",M49/$G$85,"NA")))</f>
        <v>0.73923125628779396</v>
      </c>
      <c r="O49" s="192">
        <f>H49/I49</f>
        <v>15.394077412847508</v>
      </c>
      <c r="P49" s="145"/>
    </row>
    <row r="50" spans="1:16" x14ac:dyDescent="0.25">
      <c r="A50" s="174" t="s">
        <v>117</v>
      </c>
      <c r="B50" s="191">
        <v>74</v>
      </c>
      <c r="C50" s="191" t="s">
        <v>100</v>
      </c>
      <c r="D50" s="177" t="s">
        <v>17</v>
      </c>
      <c r="E50" s="176" t="s">
        <v>60</v>
      </c>
      <c r="F50" s="185">
        <v>1224812.83</v>
      </c>
      <c r="G50" s="185">
        <v>58101.65</v>
      </c>
      <c r="H50" s="186">
        <v>71580.52</v>
      </c>
      <c r="I50" s="187">
        <v>3918.51</v>
      </c>
      <c r="J50" s="185">
        <f>F50-G50</f>
        <v>1166711.1800000002</v>
      </c>
      <c r="K50" s="180">
        <f>J50/H50</f>
        <v>16.299283380450436</v>
      </c>
      <c r="L50" s="181">
        <f>+IF(E50="Weekdays",K50/$G$77,IF(E50="Saturdays",K50/$G$78,IF(E50="Sundays",K50/$G$79,"NA")))</f>
        <v>1.0359722326049909</v>
      </c>
      <c r="M50" s="189">
        <f>G50/F50</f>
        <v>4.7437166379127496E-2</v>
      </c>
      <c r="N50" s="181">
        <f>+IF(E50="Weekdays",M50/$G$83,IF(E50="Saturdays",M50/$G$84,IF(E50="Sundays",M50/$G$85,"NA")))</f>
        <v>0.97591681973171185</v>
      </c>
      <c r="O50" s="192">
        <f>H50/I50</f>
        <v>18.26728016516482</v>
      </c>
      <c r="P50" s="145"/>
    </row>
    <row r="51" spans="1:16" x14ac:dyDescent="0.25">
      <c r="A51" s="174" t="s">
        <v>117</v>
      </c>
      <c r="B51" s="340">
        <v>2</v>
      </c>
      <c r="C51" s="340" t="s">
        <v>100</v>
      </c>
      <c r="D51" s="341" t="s">
        <v>17</v>
      </c>
      <c r="E51" s="342" t="s">
        <v>59</v>
      </c>
      <c r="F51" s="343">
        <v>1171586.9099999999</v>
      </c>
      <c r="G51" s="343">
        <v>84898.98</v>
      </c>
      <c r="H51" s="344">
        <v>115141.36</v>
      </c>
      <c r="I51" s="345">
        <v>3664.28</v>
      </c>
      <c r="J51" s="343">
        <f>F51-G51</f>
        <v>1086687.93</v>
      </c>
      <c r="K51" s="346">
        <f>J51/H51</f>
        <v>9.4378590803513163</v>
      </c>
      <c r="L51" s="181">
        <f>+IF(E51="Weekdays",K51/$G$77,IF(E51="Saturdays",K51/$G$78,IF(E51="Sundays",K51/$G$79,"NA")))</f>
        <v>0.59478161405200669</v>
      </c>
      <c r="M51" s="189">
        <f>G51/F51</f>
        <v>7.2464944149982016E-2</v>
      </c>
      <c r="N51" s="181">
        <f>+IF(E51="Weekdays",M51/$G$83,IF(E51="Saturdays",M51/$G$84,IF(E51="Sundays",M51/$G$85,"NA")))</f>
        <v>1.4956167722513116</v>
      </c>
      <c r="O51" s="347">
        <f>H51/I51</f>
        <v>31.42264237449103</v>
      </c>
      <c r="P51" s="193"/>
    </row>
    <row r="52" spans="1:16" x14ac:dyDescent="0.25">
      <c r="A52" s="174" t="s">
        <v>117</v>
      </c>
      <c r="B52" s="227">
        <v>3</v>
      </c>
      <c r="C52" s="227" t="s">
        <v>100</v>
      </c>
      <c r="D52" s="177" t="s">
        <v>17</v>
      </c>
      <c r="E52" s="177" t="s">
        <v>59</v>
      </c>
      <c r="F52" s="185">
        <v>1870475.69</v>
      </c>
      <c r="G52" s="185">
        <v>99582.76</v>
      </c>
      <c r="H52" s="228">
        <v>116572.27</v>
      </c>
      <c r="I52" s="187">
        <v>6426.48</v>
      </c>
      <c r="J52" s="185">
        <f>F52-G52</f>
        <v>1770892.93</v>
      </c>
      <c r="K52" s="180">
        <f>J52/H52</f>
        <v>15.191373814715968</v>
      </c>
      <c r="L52" s="181">
        <f>+IF(E52="Weekdays",K52/$G$77,IF(E52="Saturdays",K52/$G$78,IF(E52="Sundays",K52/$G$79,"NA")))</f>
        <v>0.95737282791128653</v>
      </c>
      <c r="M52" s="189">
        <f>G52/F52</f>
        <v>5.3239269845843332E-2</v>
      </c>
      <c r="N52" s="181">
        <f>+IF(E52="Weekdays",M52/$G$83,IF(E52="Saturdays",M52/$G$84,IF(E52="Sundays",M52/$G$85,"NA")))</f>
        <v>1.0988146869892612</v>
      </c>
      <c r="O52" s="192">
        <f>H52/I52</f>
        <v>18.139365562485221</v>
      </c>
      <c r="P52" s="145"/>
    </row>
    <row r="53" spans="1:16" x14ac:dyDescent="0.25">
      <c r="A53" s="174" t="s">
        <v>117</v>
      </c>
      <c r="B53" s="191">
        <v>4</v>
      </c>
      <c r="C53" s="191" t="s">
        <v>100</v>
      </c>
      <c r="D53" s="177" t="s">
        <v>17</v>
      </c>
      <c r="E53" s="176" t="s">
        <v>59</v>
      </c>
      <c r="F53" s="185">
        <v>1839694.18</v>
      </c>
      <c r="G53" s="185">
        <v>93789.06</v>
      </c>
      <c r="H53" s="186">
        <v>106279.47</v>
      </c>
      <c r="I53" s="187">
        <v>6380.97</v>
      </c>
      <c r="J53" s="185">
        <f>F53-G53</f>
        <v>1745905.1199999999</v>
      </c>
      <c r="K53" s="180">
        <f>J53/H53</f>
        <v>16.427491781808847</v>
      </c>
      <c r="L53" s="181">
        <f>+IF(E53="Weekdays",K53/$G$77,IF(E53="Saturdays",K53/$G$78,IF(E53="Sundays",K53/$G$79,"NA")))</f>
        <v>1.0352739952593817</v>
      </c>
      <c r="M53" s="189">
        <f>G53/F53</f>
        <v>5.0980788556932874E-2</v>
      </c>
      <c r="N53" s="181">
        <f>+IF(E53="Weekdays",M53/$G$83,IF(E53="Saturdays",M53/$G$84,IF(E53="Sundays",M53/$G$85,"NA")))</f>
        <v>1.0522014930493184</v>
      </c>
      <c r="O53" s="192">
        <f>H53/I53</f>
        <v>16.655691846224006</v>
      </c>
      <c r="P53" s="145"/>
    </row>
    <row r="54" spans="1:16" x14ac:dyDescent="0.25">
      <c r="A54" s="174" t="s">
        <v>117</v>
      </c>
      <c r="B54" s="191">
        <v>6</v>
      </c>
      <c r="C54" s="191" t="s">
        <v>100</v>
      </c>
      <c r="D54" s="177" t="s">
        <v>17</v>
      </c>
      <c r="E54" s="176" t="s">
        <v>59</v>
      </c>
      <c r="F54" s="185">
        <v>2349448.2999999998</v>
      </c>
      <c r="G54" s="185">
        <v>107990.65</v>
      </c>
      <c r="H54" s="186">
        <v>121670.52</v>
      </c>
      <c r="I54" s="187">
        <v>7669.29</v>
      </c>
      <c r="J54" s="185">
        <f>F54-G54</f>
        <v>2241457.65</v>
      </c>
      <c r="K54" s="180">
        <f>J54/H54</f>
        <v>18.422356130309954</v>
      </c>
      <c r="L54" s="181">
        <f>+IF(E54="Weekdays",K54/$G$77,IF(E54="Saturdays",K54/$G$78,IF(E54="Sundays",K54/$G$79,"NA")))</f>
        <v>1.1609919813952934</v>
      </c>
      <c r="M54" s="189">
        <f>G54/F54</f>
        <v>4.5964258928362034E-2</v>
      </c>
      <c r="N54" s="181">
        <f>+IF(E54="Weekdays",M54/$G$83,IF(E54="Saturdays",M54/$G$84,IF(E54="Sundays",M54/$G$85,"NA")))</f>
        <v>0.9486644526362672</v>
      </c>
      <c r="O54" s="192">
        <f>H54/I54</f>
        <v>15.864639360358</v>
      </c>
      <c r="P54" s="145"/>
    </row>
    <row r="55" spans="1:16" x14ac:dyDescent="0.25">
      <c r="A55" s="174" t="s">
        <v>117</v>
      </c>
      <c r="B55" s="191">
        <v>7</v>
      </c>
      <c r="C55" s="191" t="s">
        <v>100</v>
      </c>
      <c r="D55" s="177" t="s">
        <v>17</v>
      </c>
      <c r="E55" s="176" t="s">
        <v>59</v>
      </c>
      <c r="F55" s="185">
        <v>572137.43000000005</v>
      </c>
      <c r="G55" s="185">
        <v>21407.68</v>
      </c>
      <c r="H55" s="186">
        <v>25375.29</v>
      </c>
      <c r="I55" s="187">
        <v>1786.2</v>
      </c>
      <c r="J55" s="185">
        <f>F55-G55</f>
        <v>550729.75</v>
      </c>
      <c r="K55" s="180">
        <f>J55/H55</f>
        <v>21.703387429266819</v>
      </c>
      <c r="L55" s="181">
        <f>+IF(E55="Weekdays",K55/$G$77,IF(E55="Saturdays",K55/$G$78,IF(E55="Sundays",K55/$G$79,"NA")))</f>
        <v>1.3677652628285306</v>
      </c>
      <c r="M55" s="189">
        <f>G55/F55</f>
        <v>3.7417024088076178E-2</v>
      </c>
      <c r="N55" s="181">
        <f>+IF(E55="Weekdays",M55/$G$83,IF(E55="Saturdays",M55/$G$84,IF(E55="Sundays",M55/$G$85,"NA")))</f>
        <v>0.77225656419514344</v>
      </c>
      <c r="O55" s="192">
        <f>H55/I55</f>
        <v>14.206298286865973</v>
      </c>
      <c r="P55" s="145"/>
    </row>
    <row r="56" spans="1:16" x14ac:dyDescent="0.25">
      <c r="A56" s="174" t="s">
        <v>117</v>
      </c>
      <c r="B56" s="227">
        <v>9</v>
      </c>
      <c r="C56" s="227" t="s">
        <v>100</v>
      </c>
      <c r="D56" s="177" t="s">
        <v>17</v>
      </c>
      <c r="E56" s="177" t="s">
        <v>59</v>
      </c>
      <c r="F56" s="185">
        <v>1181607.8999999999</v>
      </c>
      <c r="G56" s="185">
        <v>38676.370000000003</v>
      </c>
      <c r="H56" s="228">
        <v>49249.27</v>
      </c>
      <c r="I56" s="187">
        <v>3673.62</v>
      </c>
      <c r="J56" s="185">
        <f>F56-G56</f>
        <v>1142931.5299999998</v>
      </c>
      <c r="K56" s="180">
        <f>J56/H56</f>
        <v>23.207075556652917</v>
      </c>
      <c r="L56" s="181">
        <f>+IF(E56="Weekdays",K56/$G$77,IF(E56="Saturdays",K56/$G$78,IF(E56="Sundays",K56/$G$79,"NA")))</f>
        <v>1.4625289209657371</v>
      </c>
      <c r="M56" s="189">
        <f>G56/F56</f>
        <v>3.2731983257728733E-2</v>
      </c>
      <c r="N56" s="181">
        <f>+IF(E56="Weekdays",M56/$G$83,IF(E56="Saturdays",M56/$G$84,IF(E56="Sundays",M56/$G$85,"NA")))</f>
        <v>0.67556117959583595</v>
      </c>
      <c r="O56" s="192">
        <f>H56/I56</f>
        <v>13.406196068183426</v>
      </c>
      <c r="P56" s="145"/>
    </row>
    <row r="57" spans="1:16" x14ac:dyDescent="0.25">
      <c r="A57" s="174" t="s">
        <v>117</v>
      </c>
      <c r="B57" s="191">
        <v>10</v>
      </c>
      <c r="C57" s="191" t="s">
        <v>100</v>
      </c>
      <c r="D57" s="177" t="s">
        <v>17</v>
      </c>
      <c r="E57" s="176" t="s">
        <v>59</v>
      </c>
      <c r="F57" s="185">
        <v>1824184.39</v>
      </c>
      <c r="G57" s="185">
        <v>104424.64</v>
      </c>
      <c r="H57" s="186">
        <v>151782.71</v>
      </c>
      <c r="I57" s="187">
        <v>6004.22</v>
      </c>
      <c r="J57" s="185">
        <f>F57-G57</f>
        <v>1719759.75</v>
      </c>
      <c r="K57" s="180">
        <f>J57/H57</f>
        <v>11.330406144415264</v>
      </c>
      <c r="L57" s="181">
        <f>+IF(E57="Weekdays",K57/$G$77,IF(E57="Saturdays",K57/$G$78,IF(E57="Sundays",K57/$G$79,"NA")))</f>
        <v>0.7140514810684403</v>
      </c>
      <c r="M57" s="189">
        <f>G57/F57</f>
        <v>5.7244563966474905E-2</v>
      </c>
      <c r="N57" s="181">
        <f>+IF(E57="Weekdays",M57/$G$83,IF(E57="Saturdays",M57/$G$84,IF(E57="Sundays",M57/$G$85,"NA")))</f>
        <v>1.1814806592726006</v>
      </c>
      <c r="O57" s="192">
        <f>H57/I57</f>
        <v>25.279338531899228</v>
      </c>
      <c r="P57" s="193"/>
    </row>
    <row r="58" spans="1:16" x14ac:dyDescent="0.25">
      <c r="A58" s="174" t="s">
        <v>117</v>
      </c>
      <c r="B58" s="191">
        <v>11</v>
      </c>
      <c r="C58" s="191" t="s">
        <v>100</v>
      </c>
      <c r="D58" s="177" t="s">
        <v>17</v>
      </c>
      <c r="E58" s="176" t="s">
        <v>59</v>
      </c>
      <c r="F58" s="185">
        <v>1569140.67</v>
      </c>
      <c r="G58" s="185">
        <v>73782.259999999995</v>
      </c>
      <c r="H58" s="186">
        <v>93497.61</v>
      </c>
      <c r="I58" s="187">
        <v>5296.72</v>
      </c>
      <c r="J58" s="185">
        <f>F58-G58</f>
        <v>1495358.41</v>
      </c>
      <c r="K58" s="180">
        <f>J58/H58</f>
        <v>15.993546893872473</v>
      </c>
      <c r="L58" s="181">
        <f>+IF(E58="Weekdays",K58/$G$77,IF(E58="Saturdays",K58/$G$78,IF(E58="Sundays",K58/$G$79,"NA")))</f>
        <v>1.0079264327815993</v>
      </c>
      <c r="M58" s="189">
        <f>G58/F58</f>
        <v>4.7020806617675645E-2</v>
      </c>
      <c r="N58" s="181">
        <f>+IF(E58="Weekdays",M58/$G$83,IF(E58="Saturdays",M58/$G$84,IF(E58="Sundays",M58/$G$85,"NA")))</f>
        <v>0.97047072687488734</v>
      </c>
      <c r="O58" s="192">
        <f>H58/I58</f>
        <v>17.651982736485976</v>
      </c>
      <c r="P58" s="145"/>
    </row>
    <row r="59" spans="1:16" x14ac:dyDescent="0.25">
      <c r="A59" s="174" t="s">
        <v>117</v>
      </c>
      <c r="B59" s="191">
        <v>14</v>
      </c>
      <c r="C59" s="191" t="s">
        <v>100</v>
      </c>
      <c r="D59" s="177" t="s">
        <v>17</v>
      </c>
      <c r="E59" s="176" t="s">
        <v>59</v>
      </c>
      <c r="F59" s="185">
        <v>1405744.57</v>
      </c>
      <c r="G59" s="185">
        <v>70188.45</v>
      </c>
      <c r="H59" s="186">
        <v>91307.76</v>
      </c>
      <c r="I59" s="187">
        <v>4609.8</v>
      </c>
      <c r="J59" s="185">
        <f>F59-G59</f>
        <v>1335556.1200000001</v>
      </c>
      <c r="K59" s="180">
        <f>J59/H59</f>
        <v>14.626972778655398</v>
      </c>
      <c r="L59" s="181">
        <f>+IF(E59="Weekdays",K59/$G$77,IF(E59="Saturdays",K59/$G$78,IF(E59="Sundays",K59/$G$79,"NA")))</f>
        <v>0.92180381206323103</v>
      </c>
      <c r="M59" s="189">
        <f>G59/F59</f>
        <v>4.9929732255697058E-2</v>
      </c>
      <c r="N59" s="181">
        <f>+IF(E59="Weekdays",M59/$G$83,IF(E59="Saturdays",M59/$G$84,IF(E59="Sundays",M59/$G$85,"NA")))</f>
        <v>1.0305085565384566</v>
      </c>
      <c r="O59" s="192">
        <f>H59/I59</f>
        <v>19.807314850969671</v>
      </c>
      <c r="P59" s="145"/>
    </row>
    <row r="60" spans="1:16" x14ac:dyDescent="0.25">
      <c r="A60" s="174" t="s">
        <v>117</v>
      </c>
      <c r="B60" s="191">
        <v>17</v>
      </c>
      <c r="C60" s="191" t="s">
        <v>100</v>
      </c>
      <c r="D60" s="177" t="s">
        <v>17</v>
      </c>
      <c r="E60" s="176" t="s">
        <v>59</v>
      </c>
      <c r="F60" s="185">
        <v>1635259.67</v>
      </c>
      <c r="G60" s="185">
        <v>83531.63</v>
      </c>
      <c r="H60" s="186">
        <v>110417.92</v>
      </c>
      <c r="I60" s="187">
        <v>5382.1</v>
      </c>
      <c r="J60" s="185">
        <f>F60-G60</f>
        <v>1551728.04</v>
      </c>
      <c r="K60" s="180">
        <f>J60/H60</f>
        <v>14.053226505262915</v>
      </c>
      <c r="L60" s="181">
        <f>+IF(E60="Weekdays",K60/$G$77,IF(E60="Saturdays",K60/$G$78,IF(E60="Sundays",K60/$G$79,"NA")))</f>
        <v>0.88564585169961829</v>
      </c>
      <c r="M60" s="189">
        <f>G60/F60</f>
        <v>5.1081569204235316E-2</v>
      </c>
      <c r="N60" s="181">
        <f>+IF(E60="Weekdays",M60/$G$83,IF(E60="Saturdays",M60/$G$84,IF(E60="Sundays",M60/$G$85,"NA")))</f>
        <v>1.0542815226166069</v>
      </c>
      <c r="O60" s="192">
        <f>H60/I60</f>
        <v>20.515768937775217</v>
      </c>
      <c r="P60" s="145"/>
    </row>
    <row r="61" spans="1:16" x14ac:dyDescent="0.25">
      <c r="A61" s="174" t="s">
        <v>117</v>
      </c>
      <c r="B61" s="191">
        <v>18</v>
      </c>
      <c r="C61" s="191" t="s">
        <v>100</v>
      </c>
      <c r="D61" s="177" t="s">
        <v>17</v>
      </c>
      <c r="E61" s="176" t="s">
        <v>59</v>
      </c>
      <c r="F61" s="185">
        <v>2103010.08</v>
      </c>
      <c r="G61" s="185">
        <v>122952.36</v>
      </c>
      <c r="H61" s="186">
        <v>175983.87</v>
      </c>
      <c r="I61" s="187">
        <v>6946.67</v>
      </c>
      <c r="J61" s="185">
        <f>F61-G61</f>
        <v>1980057.72</v>
      </c>
      <c r="K61" s="180">
        <f>J61/H61</f>
        <v>11.251359116037168</v>
      </c>
      <c r="L61" s="181">
        <f>+IF(E61="Weekdays",K61/$G$77,IF(E61="Saturdays",K61/$G$78,IF(E61="Sundays",K61/$G$79,"NA")))</f>
        <v>0.70906987255696963</v>
      </c>
      <c r="M61" s="189">
        <f>G61/F61</f>
        <v>5.8464940881310469E-2</v>
      </c>
      <c r="N61" s="181">
        <f>+IF(E61="Weekdays",M61/$G$83,IF(E61="Saturdays",M61/$G$84,IF(E61="Sundays",M61/$G$85,"NA")))</f>
        <v>1.2066682338123491</v>
      </c>
      <c r="O61" s="192">
        <f>H61/I61</f>
        <v>25.33355838120999</v>
      </c>
      <c r="P61" s="193"/>
    </row>
    <row r="62" spans="1:16" x14ac:dyDescent="0.25">
      <c r="A62" s="174" t="s">
        <v>117</v>
      </c>
      <c r="B62" s="227">
        <v>21</v>
      </c>
      <c r="C62" s="227" t="s">
        <v>100</v>
      </c>
      <c r="D62" s="177" t="s">
        <v>17</v>
      </c>
      <c r="E62" s="177" t="s">
        <v>59</v>
      </c>
      <c r="F62" s="185">
        <v>3806044.48</v>
      </c>
      <c r="G62" s="185">
        <v>196005.43</v>
      </c>
      <c r="H62" s="228">
        <v>293504.55</v>
      </c>
      <c r="I62" s="187">
        <v>12789.87</v>
      </c>
      <c r="J62" s="185">
        <f>F62-G62</f>
        <v>3610039.05</v>
      </c>
      <c r="K62" s="180">
        <f>J62/H62</f>
        <v>12.299772013755835</v>
      </c>
      <c r="L62" s="181">
        <f>+IF(E62="Weekdays",K62/$G$77,IF(E62="Saturdays",K62/$G$78,IF(E62="Sundays",K62/$G$79,"NA")))</f>
        <v>0.7751417125991964</v>
      </c>
      <c r="M62" s="189">
        <f>G62/F62</f>
        <v>5.1498460154622255E-2</v>
      </c>
      <c r="N62" s="181">
        <f>+IF(E62="Weekdays",M62/$G$83,IF(E62="Saturdays",M62/$G$84,IF(E62="Sundays",M62/$G$85,"NA")))</f>
        <v>1.0628858085221893</v>
      </c>
      <c r="O62" s="192">
        <f>H62/I62</f>
        <v>22.948204321075973</v>
      </c>
      <c r="P62" s="193"/>
    </row>
    <row r="63" spans="1:16" x14ac:dyDescent="0.25">
      <c r="A63" s="174" t="s">
        <v>117</v>
      </c>
      <c r="B63" s="191">
        <v>22</v>
      </c>
      <c r="C63" s="191" t="s">
        <v>100</v>
      </c>
      <c r="D63" s="177" t="s">
        <v>17</v>
      </c>
      <c r="E63" s="176" t="s">
        <v>59</v>
      </c>
      <c r="F63" s="185">
        <v>1274796.53</v>
      </c>
      <c r="G63" s="185">
        <v>54150.14</v>
      </c>
      <c r="H63" s="186">
        <v>70387.75</v>
      </c>
      <c r="I63" s="187">
        <v>4716.9399999999996</v>
      </c>
      <c r="J63" s="185">
        <f>F63-G63</f>
        <v>1220646.3900000001</v>
      </c>
      <c r="K63" s="180">
        <f>J63/H63</f>
        <v>17.341744692791007</v>
      </c>
      <c r="L63" s="181">
        <f>+IF(E63="Weekdays",K63/$G$77,IF(E63="Saturdays",K63/$G$78,IF(E63="Sundays",K63/$G$79,"NA")))</f>
        <v>1.0928909629865025</v>
      </c>
      <c r="M63" s="189">
        <f>G63/F63</f>
        <v>4.2477476778196126E-2</v>
      </c>
      <c r="N63" s="181">
        <f>+IF(E63="Weekdays",M63/$G$83,IF(E63="Saturdays",M63/$G$84,IF(E63="Sundays",M63/$G$85,"NA")))</f>
        <v>0.87670014042785271</v>
      </c>
      <c r="O63" s="192">
        <f>H63/I63</f>
        <v>14.922333122744831</v>
      </c>
      <c r="P63" s="145"/>
    </row>
    <row r="64" spans="1:16" x14ac:dyDescent="0.25">
      <c r="A64" s="174" t="s">
        <v>117</v>
      </c>
      <c r="B64" s="191">
        <v>54</v>
      </c>
      <c r="C64" s="191" t="s">
        <v>100</v>
      </c>
      <c r="D64" s="177" t="s">
        <v>17</v>
      </c>
      <c r="E64" s="176" t="s">
        <v>59</v>
      </c>
      <c r="F64" s="185">
        <v>1753217.23</v>
      </c>
      <c r="G64" s="185">
        <v>125523.91</v>
      </c>
      <c r="H64" s="186">
        <v>142982.94</v>
      </c>
      <c r="I64" s="187">
        <v>5999</v>
      </c>
      <c r="J64" s="185">
        <f>F64-G64</f>
        <v>1627693.32</v>
      </c>
      <c r="K64" s="180">
        <f>J64/H64</f>
        <v>11.383828867975438</v>
      </c>
      <c r="L64" s="181">
        <f>+IF(E64="Weekdays",K64/$G$77,IF(E64="Saturdays",K64/$G$78,IF(E64="Sundays",K64/$G$79,"NA")))</f>
        <v>0.71741822488985707</v>
      </c>
      <c r="M64" s="189">
        <f>G64/F64</f>
        <v>7.1596324660806579E-2</v>
      </c>
      <c r="N64" s="181">
        <f>+IF(E64="Weekdays",M64/$G$83,IF(E64="Saturdays",M64/$G$84,IF(E64="Sundays",M64/$G$85,"NA")))</f>
        <v>1.477689181304352</v>
      </c>
      <c r="O64" s="192">
        <f>H64/I64</f>
        <v>23.834462410401734</v>
      </c>
      <c r="P64" s="193"/>
    </row>
    <row r="65" spans="1:16" x14ac:dyDescent="0.25">
      <c r="A65" s="174" t="s">
        <v>117</v>
      </c>
      <c r="B65" s="191">
        <v>61</v>
      </c>
      <c r="C65" s="191" t="s">
        <v>100</v>
      </c>
      <c r="D65" s="177" t="s">
        <v>17</v>
      </c>
      <c r="E65" s="176" t="s">
        <v>59</v>
      </c>
      <c r="F65" s="185">
        <v>455430.88</v>
      </c>
      <c r="G65" s="185">
        <v>21395.99</v>
      </c>
      <c r="H65" s="186">
        <v>25000.48</v>
      </c>
      <c r="I65" s="187">
        <v>1511.64</v>
      </c>
      <c r="J65" s="185">
        <f>F65-G65</f>
        <v>434034.89</v>
      </c>
      <c r="K65" s="180">
        <f>J65/H65</f>
        <v>17.361062267604463</v>
      </c>
      <c r="L65" s="181">
        <f>+IF(E65="Weekdays",K65/$G$77,IF(E65="Saturdays",K65/$G$78,IF(E65="Sundays",K65/$G$79,"NA")))</f>
        <v>1.0941083723829872</v>
      </c>
      <c r="M65" s="189">
        <f>G65/F65</f>
        <v>4.6979664620018742E-2</v>
      </c>
      <c r="N65" s="181">
        <f>+IF(E65="Weekdays",M65/$G$83,IF(E65="Saturdays",M65/$G$84,IF(E65="Sundays",M65/$G$85,"NA")))</f>
        <v>0.96962158992375369</v>
      </c>
      <c r="O65" s="192">
        <f>H65/I65</f>
        <v>16.538646767748933</v>
      </c>
      <c r="P65" s="145"/>
    </row>
    <row r="66" spans="1:16" x14ac:dyDescent="0.25">
      <c r="A66" s="174" t="s">
        <v>117</v>
      </c>
      <c r="B66" s="191">
        <v>62</v>
      </c>
      <c r="C66" s="191" t="s">
        <v>100</v>
      </c>
      <c r="D66" s="177" t="s">
        <v>17</v>
      </c>
      <c r="E66" s="176" t="s">
        <v>59</v>
      </c>
      <c r="F66" s="185">
        <v>971108.85</v>
      </c>
      <c r="G66" s="185">
        <v>0</v>
      </c>
      <c r="H66" s="186">
        <v>79496.06</v>
      </c>
      <c r="I66" s="187">
        <v>3210.42</v>
      </c>
      <c r="J66" s="185">
        <f>F66-G66</f>
        <v>971108.85</v>
      </c>
      <c r="K66" s="180">
        <f>J66/H66</f>
        <v>12.215811072900971</v>
      </c>
      <c r="L66" s="181">
        <f>+IF(E66="Weekdays",K66/$G$77,IF(E66="Saturdays",K66/$G$78,IF(E66="Sundays",K66/$G$79,"NA")))</f>
        <v>0.76985042529623726</v>
      </c>
      <c r="M66" s="189">
        <f>G66/F66</f>
        <v>0</v>
      </c>
      <c r="N66" s="181">
        <f>+IF(E66="Weekdays",M66/$G$83,IF(E66="Saturdays",M66/$G$84,IF(E66="Sundays",M66/$G$85,"NA")))</f>
        <v>0</v>
      </c>
      <c r="O66" s="192">
        <f>H66/I66</f>
        <v>24.76188785267971</v>
      </c>
      <c r="P66" s="193" t="s">
        <v>118</v>
      </c>
    </row>
    <row r="67" spans="1:16" s="175" customFormat="1" x14ac:dyDescent="0.25">
      <c r="A67" s="174" t="s">
        <v>117</v>
      </c>
      <c r="B67" s="191">
        <v>63</v>
      </c>
      <c r="C67" s="191" t="s">
        <v>100</v>
      </c>
      <c r="D67" s="177" t="s">
        <v>17</v>
      </c>
      <c r="E67" s="176" t="s">
        <v>59</v>
      </c>
      <c r="F67" s="185">
        <v>1681161.39</v>
      </c>
      <c r="G67" s="185">
        <v>80207.759999999995</v>
      </c>
      <c r="H67" s="186">
        <v>103499.46</v>
      </c>
      <c r="I67" s="187">
        <v>5526.72</v>
      </c>
      <c r="J67" s="185">
        <f>F67-G67</f>
        <v>1600953.63</v>
      </c>
      <c r="K67" s="180">
        <f>J67/H67</f>
        <v>15.468231718310413</v>
      </c>
      <c r="L67" s="181">
        <f>+IF(E67="Weekdays",K67/$G$77,IF(E67="Saturdays",K67/$G$78,IF(E67="Sundays",K67/$G$79,"NA")))</f>
        <v>0.97482063989502188</v>
      </c>
      <c r="M67" s="189">
        <f>G67/F67</f>
        <v>4.7709732377329936E-2</v>
      </c>
      <c r="N67" s="181">
        <f>+IF(E67="Weekdays",M67/$G$83,IF(E67="Saturdays",M67/$G$84,IF(E67="Sundays",M67/$G$85,"NA")))</f>
        <v>0.98468958722262134</v>
      </c>
      <c r="O67" s="192">
        <f>H67/I67</f>
        <v>18.72710396039604</v>
      </c>
      <c r="P67" s="145"/>
    </row>
    <row r="68" spans="1:16" s="175" customFormat="1" x14ac:dyDescent="0.25">
      <c r="A68" s="174" t="s">
        <v>117</v>
      </c>
      <c r="B68" s="191">
        <v>64</v>
      </c>
      <c r="C68" s="191" t="s">
        <v>100</v>
      </c>
      <c r="D68" s="177" t="s">
        <v>17</v>
      </c>
      <c r="E68" s="176" t="s">
        <v>59</v>
      </c>
      <c r="F68" s="185">
        <v>1496091.4</v>
      </c>
      <c r="G68" s="185">
        <v>71860.89</v>
      </c>
      <c r="H68" s="186">
        <v>98548.23</v>
      </c>
      <c r="I68" s="187">
        <v>4997.2</v>
      </c>
      <c r="J68" s="185">
        <f>F68-G68</f>
        <v>1424230.51</v>
      </c>
      <c r="K68" s="180">
        <f>J68/H68</f>
        <v>14.452116593063113</v>
      </c>
      <c r="L68" s="181">
        <f>+IF(E68="Weekdays",K68/$G$77,IF(E68="Saturdays",K68/$G$78,IF(E68="Sundays",K68/$G$79,"NA")))</f>
        <v>0.91078423194361724</v>
      </c>
      <c r="M68" s="189">
        <f>G68/F68</f>
        <v>4.8032419677033103E-2</v>
      </c>
      <c r="N68" s="181">
        <f>+IF(E68="Weekdays",M68/$G$83,IF(E68="Saturdays",M68/$G$84,IF(E68="Sundays",M68/$G$85,"NA")))</f>
        <v>0.99134958735495649</v>
      </c>
      <c r="O68" s="192">
        <f>H68/I68</f>
        <v>19.720689586168255</v>
      </c>
      <c r="P68" s="145"/>
    </row>
    <row r="69" spans="1:16" s="175" customFormat="1" x14ac:dyDescent="0.25">
      <c r="A69" s="174" t="s">
        <v>117</v>
      </c>
      <c r="B69" s="191">
        <v>67</v>
      </c>
      <c r="C69" s="191" t="s">
        <v>100</v>
      </c>
      <c r="D69" s="177" t="s">
        <v>17</v>
      </c>
      <c r="E69" s="176" t="s">
        <v>59</v>
      </c>
      <c r="F69" s="185">
        <v>230201</v>
      </c>
      <c r="G69" s="185">
        <v>15645.51</v>
      </c>
      <c r="H69" s="186">
        <v>15354</v>
      </c>
      <c r="I69" s="187">
        <v>2116.8000000000002</v>
      </c>
      <c r="J69" s="185">
        <f>F69-G69</f>
        <v>214555.49</v>
      </c>
      <c r="K69" s="180">
        <f>J69/H69</f>
        <v>13.973914940732056</v>
      </c>
      <c r="L69" s="181">
        <f>+IF(E69="Weekdays",K69/$G$77,IF(E69="Saturdays",K69/$G$78,IF(E69="Sundays",K69/$G$79,"NA")))</f>
        <v>0.88064757190299969</v>
      </c>
      <c r="M69" s="189">
        <f>G69/F69</f>
        <v>6.7964561405033E-2</v>
      </c>
      <c r="N69" s="181">
        <f>+IF(E69="Weekdays",M69/$G$83,IF(E69="Saturdays",M69/$G$84,IF(E69="Sundays",M69/$G$85,"NA")))</f>
        <v>1.4027325784683815</v>
      </c>
      <c r="O69" s="192">
        <f>H69/I69</f>
        <v>7.2534013605442169</v>
      </c>
      <c r="P69" s="193"/>
    </row>
    <row r="70" spans="1:16" s="175" customFormat="1" x14ac:dyDescent="0.25">
      <c r="A70" s="174" t="s">
        <v>117</v>
      </c>
      <c r="B70" s="191">
        <v>68</v>
      </c>
      <c r="C70" s="191" t="s">
        <v>100</v>
      </c>
      <c r="D70" s="177" t="s">
        <v>17</v>
      </c>
      <c r="E70" s="176" t="s">
        <v>59</v>
      </c>
      <c r="F70" s="185">
        <v>1403028.3</v>
      </c>
      <c r="G70" s="185">
        <v>55549.18</v>
      </c>
      <c r="H70" s="186">
        <v>81081.240000000005</v>
      </c>
      <c r="I70" s="187">
        <v>4869.8</v>
      </c>
      <c r="J70" s="185">
        <f>F70-G70</f>
        <v>1347479.12</v>
      </c>
      <c r="K70" s="180">
        <f>J70/H70</f>
        <v>16.618876573668583</v>
      </c>
      <c r="L70" s="181">
        <f>+IF(E70="Weekdays",K70/$G$77,IF(E70="Saturdays",K70/$G$78,IF(E70="Sundays",K70/$G$79,"NA")))</f>
        <v>1.0473352216920087</v>
      </c>
      <c r="M70" s="189">
        <f>G70/F70</f>
        <v>3.9592344644794407E-2</v>
      </c>
      <c r="N70" s="181">
        <f>+IF(E70="Weekdays",M70/$G$83,IF(E70="Saturdays",M70/$G$84,IF(E70="Sundays",M70/$G$85,"NA")))</f>
        <v>0.81715338910564261</v>
      </c>
      <c r="O70" s="192">
        <f>H70/I70</f>
        <v>16.649809027064766</v>
      </c>
      <c r="P70" s="145"/>
    </row>
    <row r="71" spans="1:16" s="175" customFormat="1" x14ac:dyDescent="0.25">
      <c r="A71" s="174" t="s">
        <v>117</v>
      </c>
      <c r="B71" s="191">
        <v>70</v>
      </c>
      <c r="C71" s="191" t="s">
        <v>100</v>
      </c>
      <c r="D71" s="177" t="s">
        <v>17</v>
      </c>
      <c r="E71" s="176" t="s">
        <v>59</v>
      </c>
      <c r="F71" s="185">
        <v>46390</v>
      </c>
      <c r="G71" s="185">
        <v>3192.94</v>
      </c>
      <c r="H71" s="186">
        <v>3542</v>
      </c>
      <c r="I71" s="187">
        <v>441.28</v>
      </c>
      <c r="J71" s="185">
        <f>F71-G71</f>
        <v>43197.06</v>
      </c>
      <c r="K71" s="180">
        <f>J71/H71</f>
        <v>12.1956691134952</v>
      </c>
      <c r="L71" s="181">
        <f>+IF(E71="Weekdays",K71/$G$77,IF(E71="Saturdays",K71/$G$78,IF(E71="Sundays",K71/$G$79,"NA")))</f>
        <v>0.76858106250711955</v>
      </c>
      <c r="M71" s="189">
        <f>G71/F71</f>
        <v>6.8828195731838765E-2</v>
      </c>
      <c r="N71" s="181">
        <f>+IF(E71="Weekdays",M71/$G$83,IF(E71="Saturdays",M71/$G$84,IF(E71="Sundays",M71/$G$85,"NA")))</f>
        <v>1.4205572797693207</v>
      </c>
      <c r="O71" s="192">
        <f>H71/I71</f>
        <v>8.0266497461928932</v>
      </c>
      <c r="P71" s="193"/>
    </row>
    <row r="72" spans="1:16" s="175" customFormat="1" x14ac:dyDescent="0.25">
      <c r="A72" s="174" t="s">
        <v>117</v>
      </c>
      <c r="B72" s="191">
        <v>71</v>
      </c>
      <c r="C72" s="191" t="s">
        <v>100</v>
      </c>
      <c r="D72" s="177" t="s">
        <v>17</v>
      </c>
      <c r="E72" s="176" t="s">
        <v>59</v>
      </c>
      <c r="F72" s="185">
        <v>687374.39</v>
      </c>
      <c r="G72" s="185">
        <v>13500.97</v>
      </c>
      <c r="H72" s="186">
        <v>18833.71</v>
      </c>
      <c r="I72" s="187">
        <v>2042.04</v>
      </c>
      <c r="J72" s="185">
        <f>F72-G72</f>
        <v>673873.42</v>
      </c>
      <c r="K72" s="180">
        <f>J72/H72</f>
        <v>35.78017395404305</v>
      </c>
      <c r="L72" s="181">
        <f>+IF(E72="Weekdays",K72/$G$77,IF(E72="Saturdays",K72/$G$78,IF(E72="Sundays",K72/$G$79,"NA")))</f>
        <v>2.2548958862665192</v>
      </c>
      <c r="M72" s="189">
        <f>G72/F72</f>
        <v>1.9641363129633035E-2</v>
      </c>
      <c r="N72" s="181">
        <f>+IF(E72="Weekdays",M72/$G$83,IF(E72="Saturdays",M72/$G$84,IF(E72="Sundays",M72/$G$85,"NA")))</f>
        <v>0.40538156029980149</v>
      </c>
      <c r="O72" s="192">
        <f>H72/I72</f>
        <v>9.2229877965172076</v>
      </c>
      <c r="P72" s="145"/>
    </row>
    <row r="73" spans="1:16" s="175" customFormat="1" ht="15.75" thickBot="1" x14ac:dyDescent="0.3">
      <c r="A73" s="194" t="s">
        <v>117</v>
      </c>
      <c r="B73" s="195">
        <v>74</v>
      </c>
      <c r="C73" s="195" t="s">
        <v>100</v>
      </c>
      <c r="D73" s="196" t="s">
        <v>17</v>
      </c>
      <c r="E73" s="197" t="s">
        <v>59</v>
      </c>
      <c r="F73" s="198">
        <v>1089443</v>
      </c>
      <c r="G73" s="198">
        <v>58312.57</v>
      </c>
      <c r="H73" s="199">
        <v>72499.94</v>
      </c>
      <c r="I73" s="200">
        <v>3522.3</v>
      </c>
      <c r="J73" s="198">
        <f>F73-G73</f>
        <v>1031130.43</v>
      </c>
      <c r="K73" s="206">
        <f>J73/H73</f>
        <v>14.222500460000381</v>
      </c>
      <c r="L73" s="201">
        <f>+IF(E73="Weekdays",K73/$G$77,IF(E73="Saturdays",K73/$G$78,IF(E73="Sundays",K73/$G$79,"NA")))</f>
        <v>0.89631363505583783</v>
      </c>
      <c r="M73" s="222">
        <f>G73/F73</f>
        <v>5.3525122470840604E-2</v>
      </c>
      <c r="N73" s="201">
        <f>+IF(E73="Weekdays",M73/$G$83,IF(E73="Saturdays",M73/$G$84,IF(E73="Sundays",M73/$G$85,"NA")))</f>
        <v>1.104714449769084</v>
      </c>
      <c r="O73" s="202">
        <f>H73/I73</f>
        <v>20.583124662862335</v>
      </c>
      <c r="P73" s="348"/>
    </row>
    <row r="74" spans="1:16" ht="15.75" thickTop="1" x14ac:dyDescent="0.25">
      <c r="A74" s="21"/>
      <c r="B74" s="43"/>
      <c r="C74" s="43"/>
      <c r="D74" s="21"/>
      <c r="E74" s="21"/>
      <c r="F74" s="23"/>
      <c r="G74" s="21"/>
      <c r="H74" s="23"/>
      <c r="I74" s="23"/>
      <c r="J74" s="24"/>
      <c r="K74" s="21"/>
      <c r="L74" s="21"/>
      <c r="O74" s="21"/>
      <c r="P74" s="21"/>
    </row>
    <row r="75" spans="1:16" ht="15.75" thickBot="1" x14ac:dyDescent="0.3">
      <c r="A75" s="21"/>
      <c r="B75" s="43"/>
      <c r="C75" s="43"/>
      <c r="D75" s="21"/>
      <c r="E75" s="335" t="s">
        <v>87</v>
      </c>
      <c r="F75" s="335"/>
      <c r="G75" s="335"/>
      <c r="H75" s="335"/>
      <c r="I75" s="335"/>
      <c r="J75" s="335"/>
      <c r="K75" s="335"/>
      <c r="L75" s="21"/>
      <c r="O75" s="21"/>
      <c r="P75" s="21"/>
    </row>
    <row r="76" spans="1:16" ht="36" x14ac:dyDescent="0.25">
      <c r="A76" s="21"/>
      <c r="B76" s="43"/>
      <c r="C76" s="43"/>
      <c r="D76" s="21"/>
      <c r="E76" s="48" t="s">
        <v>57</v>
      </c>
      <c r="F76" s="75" t="s">
        <v>38</v>
      </c>
      <c r="G76" s="76" t="s">
        <v>39</v>
      </c>
      <c r="H76" s="76" t="s">
        <v>40</v>
      </c>
      <c r="I76" s="76" t="s">
        <v>41</v>
      </c>
      <c r="J76" s="77" t="s">
        <v>42</v>
      </c>
      <c r="K76" s="51" t="s">
        <v>56</v>
      </c>
      <c r="L76" s="21"/>
      <c r="O76" s="21"/>
      <c r="P76" s="21"/>
    </row>
    <row r="77" spans="1:16" x14ac:dyDescent="0.25">
      <c r="A77" s="21"/>
      <c r="B77" s="43"/>
      <c r="C77" s="43"/>
      <c r="D77" s="21"/>
      <c r="E77" s="52">
        <f>COUNTIF(E4:E73, "Weekdays")</f>
        <v>25</v>
      </c>
      <c r="F77" s="59" t="s">
        <v>27</v>
      </c>
      <c r="G77" s="60">
        <f>AVERAGEIF($E$4:$E$73,"Weekdays",K4:K73)</f>
        <v>13.294589885678931</v>
      </c>
      <c r="H77" s="61">
        <f>G77*1.2</f>
        <v>15.953507862814718</v>
      </c>
      <c r="I77" s="62">
        <f>G77*1.35</f>
        <v>17.947696345666557</v>
      </c>
      <c r="J77" s="63">
        <f>G77*1.6</f>
        <v>21.27134381708629</v>
      </c>
      <c r="K77" s="58">
        <f>+SUMIF($E$4:$E$73,"Weekdays",$J$4:$J$73)/SUMIF($E$4:$E$64,"Weekdays",$H$4:$H$73)</f>
        <v>12.021102957367074</v>
      </c>
      <c r="L77" s="21"/>
      <c r="O77" s="21"/>
      <c r="P77" s="21"/>
    </row>
    <row r="78" spans="1:16" x14ac:dyDescent="0.25">
      <c r="A78" s="21"/>
      <c r="B78" s="43"/>
      <c r="C78" s="43"/>
      <c r="D78" s="21"/>
      <c r="E78" s="52">
        <f>COUNTIF(E4:E73, "Saturdays")</f>
        <v>23</v>
      </c>
      <c r="F78" s="59" t="s">
        <v>59</v>
      </c>
      <c r="G78" s="60">
        <f>AVERAGEIF($E$4:$E$73,"Saturdays",K4:K73)</f>
        <v>15.867772065203894</v>
      </c>
      <c r="H78" s="61">
        <f>G78*1.2</f>
        <v>19.041326478244674</v>
      </c>
      <c r="I78" s="62">
        <f>G78*1.35</f>
        <v>21.421492288025259</v>
      </c>
      <c r="J78" s="63">
        <f>G78*1.6</f>
        <v>25.388435304326233</v>
      </c>
      <c r="K78" s="58">
        <f>+SUMIF($E$4:$E$73,"Saturdays",$J$4:$J$73)/SUMIF($E$4:$E$73,"Saturdays",$H$4:$H$73)</f>
        <v>14.255266985756084</v>
      </c>
      <c r="L78" s="21"/>
      <c r="O78" s="21"/>
      <c r="P78" s="21"/>
    </row>
    <row r="79" spans="1:16" ht="15.75" thickBot="1" x14ac:dyDescent="0.3">
      <c r="A79" s="21"/>
      <c r="B79" s="43"/>
      <c r="C79" s="43"/>
      <c r="D79" s="21"/>
      <c r="E79" s="64">
        <f>COUNTIF(E4:E73, "Sundays")</f>
        <v>22</v>
      </c>
      <c r="F79" s="59" t="s">
        <v>60</v>
      </c>
      <c r="G79" s="78">
        <f>AVERAGEIF($E$4:$E$73,"Sundays",K4:K73)</f>
        <v>15.733320708283156</v>
      </c>
      <c r="H79" s="61">
        <f>G79*1.2</f>
        <v>18.879984849939785</v>
      </c>
      <c r="I79" s="62">
        <f>G79*1.35</f>
        <v>21.23998295618226</v>
      </c>
      <c r="J79" s="63">
        <f>G79*1.6</f>
        <v>25.17331313325305</v>
      </c>
      <c r="K79" s="74">
        <f>+SUMIF($E$4:$E$73,"Sundays",$J$4:$J$73)/SUMIF($E$4:$E$73,"Sundays",$H$4:$H$73)</f>
        <v>14.455441230709704</v>
      </c>
      <c r="L79" s="21"/>
      <c r="O79" s="21"/>
      <c r="P79" s="21"/>
    </row>
    <row r="80" spans="1:16" ht="15.75" thickBot="1" x14ac:dyDescent="0.3">
      <c r="A80" s="21"/>
      <c r="B80" s="43"/>
      <c r="C80" s="43"/>
      <c r="D80" s="21"/>
      <c r="E80" s="43"/>
      <c r="F80" s="70" t="s">
        <v>81</v>
      </c>
      <c r="G80" s="71">
        <v>20</v>
      </c>
      <c r="H80" s="72"/>
      <c r="I80" s="72"/>
      <c r="J80" s="73"/>
      <c r="K80" s="74">
        <f>+SUM($J$4:$J$73)/SUM($H$4:$H$73)</f>
        <v>12.485708671249254</v>
      </c>
      <c r="L80" s="21"/>
      <c r="O80" s="21"/>
      <c r="P80" s="21"/>
    </row>
    <row r="81" spans="5:11" ht="15.75" thickBot="1" x14ac:dyDescent="0.3">
      <c r="E81" s="334" t="s">
        <v>86</v>
      </c>
      <c r="F81" s="334"/>
      <c r="G81" s="334"/>
      <c r="H81" s="334"/>
      <c r="I81" s="334"/>
      <c r="J81" s="334"/>
      <c r="K81" s="334"/>
    </row>
    <row r="82" spans="5:11" ht="36" x14ac:dyDescent="0.25">
      <c r="E82" s="48" t="s">
        <v>57</v>
      </c>
      <c r="F82" s="48" t="s">
        <v>38</v>
      </c>
      <c r="G82" s="49" t="s">
        <v>39</v>
      </c>
      <c r="H82" s="49" t="s">
        <v>40</v>
      </c>
      <c r="I82" s="49" t="s">
        <v>41</v>
      </c>
      <c r="J82" s="50" t="s">
        <v>42</v>
      </c>
      <c r="K82" s="51" t="s">
        <v>56</v>
      </c>
    </row>
    <row r="83" spans="5:11" x14ac:dyDescent="0.25">
      <c r="E83" s="52">
        <f>COUNTIF(E4:E73, "Weekdays")</f>
        <v>25</v>
      </c>
      <c r="F83" s="53" t="s">
        <v>27</v>
      </c>
      <c r="G83" s="122">
        <f>AVERAGEIF($E$4:$E$73,"Weekdays",$M$4:$M$73)</f>
        <v>7.7585820408364037E-2</v>
      </c>
      <c r="H83" s="123">
        <f>G83*0.8</f>
        <v>6.2068656326691229E-2</v>
      </c>
      <c r="I83" s="124">
        <f>G83*0.65</f>
        <v>5.0430783265436624E-2</v>
      </c>
      <c r="J83" s="125">
        <f>G83*0.4</f>
        <v>3.1034328163345615E-2</v>
      </c>
      <c r="K83" s="130">
        <f>+SUMIF($E$4:$E$73,"Weekdays",$G$4:$G$73)/SUMIF($E$4:$E$73,"Weekdays",$F$4:$F$73)</f>
        <v>7.5001519242359496E-2</v>
      </c>
    </row>
    <row r="84" spans="5:11" x14ac:dyDescent="0.25">
      <c r="E84" s="52">
        <f>COUNTIF(E22:E73, "Saturdays")</f>
        <v>23</v>
      </c>
      <c r="F84" s="59" t="s">
        <v>59</v>
      </c>
      <c r="G84" s="126">
        <f>AVERAGEIF($E$4:$E$73,"Saturdays",$M$4:$M$73)</f>
        <v>4.8451545539237625E-2</v>
      </c>
      <c r="H84" s="127">
        <f>G84*0.8</f>
        <v>3.8761236431390102E-2</v>
      </c>
      <c r="I84" s="128">
        <f>G84*0.65</f>
        <v>3.1493504600504457E-2</v>
      </c>
      <c r="J84" s="129">
        <f>G84*0.4</f>
        <v>1.9380618215695051E-2</v>
      </c>
      <c r="K84" s="130">
        <f>+SUMIF($E$4:$E$73,"Saturdays",$G$4:$G$73)/SUMIF($E$4:$E$73,"Saturdays",$F$4:$F$73)</f>
        <v>4.9251656588528821E-2</v>
      </c>
    </row>
    <row r="85" spans="5:11" ht="15.75" thickBot="1" x14ac:dyDescent="0.3">
      <c r="E85" s="64">
        <f>COUNTIF(E22:E73, "Sundays")</f>
        <v>22</v>
      </c>
      <c r="F85" s="65" t="s">
        <v>60</v>
      </c>
      <c r="G85" s="137">
        <f>AVERAGEIF($E$4:$E$73,"Sundays",$M$4:$M$73)</f>
        <v>4.8607796709732282E-2</v>
      </c>
      <c r="H85" s="138">
        <f>G85*0.8</f>
        <v>3.8886237367785827E-2</v>
      </c>
      <c r="I85" s="139">
        <f>G85*0.65</f>
        <v>3.1595067861325987E-2</v>
      </c>
      <c r="J85" s="140">
        <f>G85*0.4</f>
        <v>1.9443118683892913E-2</v>
      </c>
      <c r="K85" s="130">
        <f>+SUMIF($E$4:$E$73,"Sundays",$G$4:$G$73)/SUMIF($E$4:$E$73,"Sundays",$F$4:$F$73)</f>
        <v>4.9426658235342272E-2</v>
      </c>
    </row>
    <row r="86" spans="5:11" ht="15.75" thickBot="1" x14ac:dyDescent="0.3">
      <c r="E86" s="43"/>
      <c r="F86" s="84" t="s">
        <v>89</v>
      </c>
      <c r="G86" s="132">
        <f>AVERAGE(M4:M73)</f>
        <v>5.8905751217509648E-2</v>
      </c>
      <c r="H86" s="133">
        <f>G86*0.8</f>
        <v>4.7124600974007724E-2</v>
      </c>
      <c r="I86" s="134">
        <f>G86*0.65</f>
        <v>3.8288738291381276E-2</v>
      </c>
      <c r="J86" s="135">
        <f>G86*0.4</f>
        <v>2.3562300487003862E-2</v>
      </c>
      <c r="K86" s="131">
        <f>+SUM($G$4:$G$73)/SUM($F$4:$F$73)</f>
        <v>6.9234485658243583E-2</v>
      </c>
    </row>
  </sheetData>
  <autoFilter ref="A3:P73" xr:uid="{C9060C47-4874-4271-BE45-136EFC5E64B8}">
    <sortState xmlns:xlrd2="http://schemas.microsoft.com/office/spreadsheetml/2017/richdata2" ref="A4:P73">
      <sortCondition descending="1" ref="E4:E73"/>
      <sortCondition ref="B4:B73"/>
    </sortState>
  </autoFilter>
  <sortState xmlns:xlrd2="http://schemas.microsoft.com/office/spreadsheetml/2017/richdata2" ref="A4:P73">
    <sortCondition ref="E4:E73" customList="Weekday,Wk,Saturday,Sat,Sunday,Sun,Sunday/Holiday,Sunday / Holiday,Reduced"/>
    <sortCondition ref="B4:B73"/>
  </sortState>
  <mergeCells count="3">
    <mergeCell ref="A2:P2"/>
    <mergeCell ref="E81:K81"/>
    <mergeCell ref="E75:K75"/>
  </mergeCells>
  <phoneticPr fontId="8" type="noConversion"/>
  <conditionalFormatting sqref="L1">
    <cfRule type="cellIs" dxfId="66" priority="14" operator="greaterThan">
      <formula>1.6</formula>
    </cfRule>
  </conditionalFormatting>
  <conditionalFormatting sqref="L4:L73">
    <cfRule type="cellIs" dxfId="65" priority="10" operator="greaterThan">
      <formula>1.6</formula>
    </cfRule>
    <cfRule type="cellIs" dxfId="64" priority="11" operator="between">
      <formula>1.35</formula>
      <formula>1.6</formula>
    </cfRule>
    <cfRule type="cellIs" dxfId="63" priority="12" operator="between">
      <formula>1.2</formula>
      <formula>1.35</formula>
    </cfRule>
  </conditionalFormatting>
  <conditionalFormatting sqref="N4:N73">
    <cfRule type="cellIs" dxfId="62" priority="1" operator="lessThan">
      <formula>0.4</formula>
    </cfRule>
    <cfRule type="cellIs" dxfId="61" priority="2" operator="between">
      <formula>0.65</formula>
      <formula>0.4</formula>
    </cfRule>
    <cfRule type="cellIs" dxfId="60" priority="3" operator="between">
      <formula>0.8</formula>
      <formula>0.65</formula>
    </cfRule>
  </conditionalFormatting>
  <conditionalFormatting sqref="O4:O73">
    <cfRule type="cellIs" dxfId="59" priority="19" operator="lessThan">
      <formula>20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12A5D-51DF-447F-A92C-EE50EFD3A187}">
  <dimension ref="A1:T73"/>
  <sheetViews>
    <sheetView zoomScale="80" zoomScaleNormal="80" workbookViewId="0">
      <selection activeCell="A3" sqref="A3"/>
    </sheetView>
  </sheetViews>
  <sheetFormatPr defaultRowHeight="15" x14ac:dyDescent="0.25"/>
  <cols>
    <col min="1" max="1" width="20.7109375" customWidth="1"/>
    <col min="2" max="3" width="10.7109375" customWidth="1"/>
    <col min="4" max="4" width="20.7109375" customWidth="1"/>
    <col min="5" max="5" width="10.7109375" customWidth="1"/>
    <col min="6" max="6" width="12.7109375" bestFit="1" customWidth="1"/>
    <col min="7" max="7" width="15.140625" bestFit="1" customWidth="1"/>
    <col min="8" max="8" width="13.7109375" customWidth="1"/>
    <col min="9" max="9" width="15.42578125" customWidth="1"/>
    <col min="10" max="10" width="11.7109375" customWidth="1"/>
    <col min="11" max="11" width="12.5703125" customWidth="1"/>
    <col min="12" max="14" width="14.140625" customWidth="1"/>
    <col min="15" max="15" width="12.140625" customWidth="1"/>
    <col min="16" max="16" width="35.7109375" customWidth="1"/>
    <col min="17" max="17" width="14.7109375" bestFit="1" customWidth="1"/>
    <col min="18" max="18" width="16.42578125" bestFit="1" customWidth="1"/>
    <col min="19" max="19" width="20.85546875" bestFit="1" customWidth="1"/>
    <col min="20" max="20" width="26.7109375" bestFit="1" customWidth="1"/>
    <col min="21" max="21" width="19.7109375" bestFit="1" customWidth="1"/>
  </cols>
  <sheetData>
    <row r="1" spans="1:20" ht="22.5" x14ac:dyDescent="0.45">
      <c r="A1" s="13" t="s">
        <v>44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O1" s="14"/>
      <c r="P1" s="14"/>
    </row>
    <row r="2" spans="1:20" ht="37.5" thickBot="1" x14ac:dyDescent="0.75">
      <c r="A2" s="336" t="s">
        <v>92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</row>
    <row r="3" spans="1:20" ht="57" customHeight="1" thickBot="1" x14ac:dyDescent="0.3">
      <c r="A3" s="44" t="s">
        <v>7</v>
      </c>
      <c r="B3" s="45" t="s">
        <v>65</v>
      </c>
      <c r="C3" s="45" t="s">
        <v>66</v>
      </c>
      <c r="D3" s="38" t="s">
        <v>0</v>
      </c>
      <c r="E3" s="38" t="s">
        <v>1</v>
      </c>
      <c r="F3" s="39" t="s">
        <v>2</v>
      </c>
      <c r="G3" s="39" t="s">
        <v>32</v>
      </c>
      <c r="H3" s="39" t="s">
        <v>34</v>
      </c>
      <c r="I3" s="40" t="s">
        <v>58</v>
      </c>
      <c r="J3" s="40" t="s">
        <v>33</v>
      </c>
      <c r="K3" s="41" t="s">
        <v>13</v>
      </c>
      <c r="L3" s="42" t="s">
        <v>63</v>
      </c>
      <c r="M3" s="120" t="s">
        <v>86</v>
      </c>
      <c r="N3" s="120" t="s">
        <v>88</v>
      </c>
      <c r="O3" s="42" t="s">
        <v>36</v>
      </c>
      <c r="P3" s="46" t="s">
        <v>37</v>
      </c>
    </row>
    <row r="4" spans="1:20" ht="15.75" thickTop="1" x14ac:dyDescent="0.25">
      <c r="A4" s="207" t="s">
        <v>117</v>
      </c>
      <c r="B4" s="208">
        <v>5</v>
      </c>
      <c r="C4" s="208" t="s">
        <v>100</v>
      </c>
      <c r="D4" s="209" t="s">
        <v>18</v>
      </c>
      <c r="E4" s="208" t="s">
        <v>27</v>
      </c>
      <c r="F4" s="224">
        <v>3637618.4</v>
      </c>
      <c r="G4" s="224">
        <v>163578.81</v>
      </c>
      <c r="H4" s="226">
        <v>174745.54</v>
      </c>
      <c r="I4" s="226">
        <v>11809.04</v>
      </c>
      <c r="J4" s="224">
        <f>F4-G4</f>
        <v>3474039.59</v>
      </c>
      <c r="K4" s="220">
        <f>J4/H4</f>
        <v>19.880562273577912</v>
      </c>
      <c r="L4" s="230">
        <f>+IF(E4="Weekdays",K4/$G$37,IF(E4="Saturdays",K4/$G$38,IF(E4="Sundays",K4/$G$39,"NA")))</f>
        <v>1.4701431661660176</v>
      </c>
      <c r="M4" s="221">
        <f>(G4/F4)</f>
        <v>4.4968655865607013E-2</v>
      </c>
      <c r="N4" s="215">
        <f>+IF(E4="Weekdays",M4/$G$43,IF(E4="Saturdays",M4/$G$44,IF(E4="Sundays",M4/$G$45,"NA")))</f>
        <v>0.4658325825520212</v>
      </c>
      <c r="O4" s="229">
        <f>H4/I4</f>
        <v>14.797607595536977</v>
      </c>
      <c r="P4" s="144"/>
    </row>
    <row r="5" spans="1:20" x14ac:dyDescent="0.25">
      <c r="A5" s="174" t="s">
        <v>117</v>
      </c>
      <c r="B5" s="176">
        <v>23</v>
      </c>
      <c r="C5" s="176" t="s">
        <v>100</v>
      </c>
      <c r="D5" s="177" t="s">
        <v>18</v>
      </c>
      <c r="E5" s="176" t="s">
        <v>27</v>
      </c>
      <c r="F5" s="185">
        <v>3547903.57</v>
      </c>
      <c r="G5" s="185">
        <v>156962.88</v>
      </c>
      <c r="H5" s="187">
        <v>142314.07999999999</v>
      </c>
      <c r="I5" s="187">
        <v>10786.37</v>
      </c>
      <c r="J5" s="185">
        <f>F5-G5</f>
        <v>3390940.69</v>
      </c>
      <c r="K5" s="180">
        <f>J5/H5</f>
        <v>23.827162358074482</v>
      </c>
      <c r="L5" s="204">
        <f>+IF(E5="Weekdays",K5/$G$37,IF(E5="Saturdays",K5/$G$38,IF(E5="Sundays",K5/$G$39,"NA")))</f>
        <v>1.7619893958636577</v>
      </c>
      <c r="M5" s="189">
        <f>G5/F5</f>
        <v>4.4241022029806752E-2</v>
      </c>
      <c r="N5" s="181">
        <f>+IF(E5="Weekdays",M5/$G$43,IF(E5="Saturdays",M5/$G$44,IF(E5="Sundays",M5/$G$45,"NA")))</f>
        <v>0.45829498681208919</v>
      </c>
      <c r="O5" s="192">
        <f>H5/I5</f>
        <v>13.19388079585625</v>
      </c>
      <c r="P5" s="145"/>
    </row>
    <row r="6" spans="1:20" x14ac:dyDescent="0.25">
      <c r="A6" s="174" t="s">
        <v>117</v>
      </c>
      <c r="B6" s="176">
        <v>30</v>
      </c>
      <c r="C6" s="176" t="s">
        <v>100</v>
      </c>
      <c r="D6" s="177" t="s">
        <v>18</v>
      </c>
      <c r="E6" s="176" t="s">
        <v>27</v>
      </c>
      <c r="F6" s="185">
        <v>1352631</v>
      </c>
      <c r="G6" s="185">
        <v>112797.78</v>
      </c>
      <c r="H6" s="187">
        <v>103660</v>
      </c>
      <c r="I6" s="187">
        <v>9651.6</v>
      </c>
      <c r="J6" s="185">
        <f>F6-G6</f>
        <v>1239833.22</v>
      </c>
      <c r="K6" s="180">
        <f>J6/H6</f>
        <v>11.960575149527301</v>
      </c>
      <c r="L6" s="204">
        <f>+IF(E6="Weekdays",K6/$G$37,IF(E6="Saturdays",K6/$G$38,IF(E6="Sundays",K6/$G$39,"NA")))</f>
        <v>0.88446984433947295</v>
      </c>
      <c r="M6" s="189">
        <f>G6/F6</f>
        <v>8.339139055662631E-2</v>
      </c>
      <c r="N6" s="181">
        <f>+IF(E6="Weekdays",M6/$G$43,IF(E6="Saturdays",M6/$G$44,IF(E6="Sundays",M6/$G$45,"NA")))</f>
        <v>0.86385563628349504</v>
      </c>
      <c r="O6" s="192">
        <f>H6/I6</f>
        <v>10.740188155331758</v>
      </c>
      <c r="P6" s="205"/>
    </row>
    <row r="7" spans="1:20" x14ac:dyDescent="0.25">
      <c r="A7" s="174" t="s">
        <v>117</v>
      </c>
      <c r="B7" s="177">
        <v>32</v>
      </c>
      <c r="C7" s="177" t="s">
        <v>100</v>
      </c>
      <c r="D7" s="177" t="s">
        <v>18</v>
      </c>
      <c r="E7" s="177" t="s">
        <v>27</v>
      </c>
      <c r="F7" s="185">
        <v>3649018.08</v>
      </c>
      <c r="G7" s="185">
        <v>0</v>
      </c>
      <c r="H7" s="187">
        <v>313230.76</v>
      </c>
      <c r="I7" s="187">
        <v>10804.73</v>
      </c>
      <c r="J7" s="185">
        <f>F7-G7</f>
        <v>3649018.08</v>
      </c>
      <c r="K7" s="180">
        <f>J7/H7</f>
        <v>11.649616021108526</v>
      </c>
      <c r="L7" s="204">
        <f>+IF(E7="Weekdays",K7/$G$37,IF(E7="Saturdays",K7/$G$38,IF(E7="Sundays",K7/$G$39,"NA")))</f>
        <v>0.86147479866064025</v>
      </c>
      <c r="M7" s="189">
        <f>G7/F7</f>
        <v>0</v>
      </c>
      <c r="N7" s="181">
        <f>+IF(E7="Weekdays",M7/$G$43,IF(E7="Saturdays",M7/$G$44,IF(E7="Sundays",M7/$G$45,"NA")))</f>
        <v>0</v>
      </c>
      <c r="O7" s="192">
        <f>H7/I7</f>
        <v>28.990151535484923</v>
      </c>
      <c r="P7" s="145"/>
    </row>
    <row r="8" spans="1:20" x14ac:dyDescent="0.25">
      <c r="A8" s="174" t="s">
        <v>117</v>
      </c>
      <c r="B8" s="177">
        <v>33</v>
      </c>
      <c r="C8" s="177" t="s">
        <v>100</v>
      </c>
      <c r="D8" s="177" t="s">
        <v>18</v>
      </c>
      <c r="E8" s="177" t="s">
        <v>27</v>
      </c>
      <c r="F8" s="185">
        <v>117771</v>
      </c>
      <c r="G8" s="185">
        <v>17708.740000000002</v>
      </c>
      <c r="H8" s="187">
        <v>11061</v>
      </c>
      <c r="I8" s="187">
        <v>894.6</v>
      </c>
      <c r="J8" s="185">
        <f>F8-G8</f>
        <v>100062.26</v>
      </c>
      <c r="K8" s="180">
        <f>J8/H8</f>
        <v>9.0464026760690714</v>
      </c>
      <c r="L8" s="204">
        <f>+IF(E8="Weekdays",K8/$G$37,IF(E8="Saturdays",K8/$G$38,IF(E8="Sundays",K8/$G$39,"NA")))</f>
        <v>0.66897036862405612</v>
      </c>
      <c r="M8" s="189">
        <f>G8/F8</f>
        <v>0.15036587954589842</v>
      </c>
      <c r="N8" s="181">
        <f>+IF(E8="Weekdays",M8/$G$43,IF(E8="Saturdays",M8/$G$44,IF(E8="Sundays",M8/$G$45,"NA")))</f>
        <v>1.5576477581609052</v>
      </c>
      <c r="O8" s="192">
        <f>H8/I8</f>
        <v>12.364185110663984</v>
      </c>
      <c r="P8" s="193"/>
    </row>
    <row r="9" spans="1:20" x14ac:dyDescent="0.25">
      <c r="A9" s="174" t="s">
        <v>117</v>
      </c>
      <c r="B9" s="177">
        <v>46</v>
      </c>
      <c r="C9" s="177" t="s">
        <v>100</v>
      </c>
      <c r="D9" s="177" t="s">
        <v>18</v>
      </c>
      <c r="E9" s="177" t="s">
        <v>27</v>
      </c>
      <c r="F9" s="185">
        <v>3065312.15</v>
      </c>
      <c r="G9" s="185">
        <v>129062.96</v>
      </c>
      <c r="H9" s="187">
        <v>102834.74</v>
      </c>
      <c r="I9" s="187">
        <v>9018.7800000000007</v>
      </c>
      <c r="J9" s="185">
        <f>F9-G9</f>
        <v>2936249.19</v>
      </c>
      <c r="K9" s="180">
        <f>J9/H9</f>
        <v>28.553086145790807</v>
      </c>
      <c r="L9" s="204">
        <f>+IF(E9="Weekdays",K9/$G$37,IF(E9="Saturdays",K9/$G$38,IF(E9="Sundays",K9/$G$39,"NA")))</f>
        <v>2.1114656563800152</v>
      </c>
      <c r="M9" s="189">
        <f>G9/F9</f>
        <v>4.2104344903340432E-2</v>
      </c>
      <c r="N9" s="181">
        <f>+IF(E9="Weekdays",M9/$G$43,IF(E9="Saturdays",M9/$G$44,IF(E9="Sundays",M9/$G$45,"NA")))</f>
        <v>0.43616104029440173</v>
      </c>
      <c r="O9" s="192">
        <f>H9/I9</f>
        <v>11.402289444913835</v>
      </c>
      <c r="P9" s="145"/>
      <c r="Q9" s="2"/>
      <c r="S9" s="2"/>
      <c r="T9" s="2"/>
    </row>
    <row r="10" spans="1:20" x14ac:dyDescent="0.25">
      <c r="A10" s="174" t="s">
        <v>117</v>
      </c>
      <c r="B10" s="176">
        <v>65</v>
      </c>
      <c r="C10" s="176" t="s">
        <v>100</v>
      </c>
      <c r="D10" s="177" t="s">
        <v>18</v>
      </c>
      <c r="E10" s="176" t="s">
        <v>27</v>
      </c>
      <c r="F10" s="185">
        <v>835153</v>
      </c>
      <c r="G10" s="185">
        <v>104223.47</v>
      </c>
      <c r="H10" s="187">
        <v>94976</v>
      </c>
      <c r="I10" s="187">
        <v>7340.76</v>
      </c>
      <c r="J10" s="185">
        <f>F10-G10</f>
        <v>730929.53</v>
      </c>
      <c r="K10" s="180">
        <f>J10/H10</f>
        <v>7.6959392899258763</v>
      </c>
      <c r="L10" s="204">
        <f>+IF(E10="Weekdays",K10/$G$37,IF(E10="Saturdays",K10/$G$38,IF(E10="Sundays",K10/$G$39,"NA")))</f>
        <v>0.56910525963091241</v>
      </c>
      <c r="M10" s="189">
        <f>G10/F10</f>
        <v>0.12479566019639515</v>
      </c>
      <c r="N10" s="181">
        <f>+IF(E10="Weekdays",M10/$G$43,IF(E10="Saturdays",M10/$G$44,IF(E10="Sundays",M10/$G$45,"NA")))</f>
        <v>1.2927645614827741</v>
      </c>
      <c r="O10" s="192">
        <f>H10/I10</f>
        <v>12.938169889766181</v>
      </c>
      <c r="P10" s="193"/>
      <c r="Q10" s="8"/>
      <c r="S10" s="8"/>
      <c r="T10" s="10"/>
    </row>
    <row r="11" spans="1:20" x14ac:dyDescent="0.25">
      <c r="A11" s="174" t="s">
        <v>117</v>
      </c>
      <c r="B11" s="176">
        <v>80</v>
      </c>
      <c r="C11" s="176" t="s">
        <v>100</v>
      </c>
      <c r="D11" s="177" t="s">
        <v>18</v>
      </c>
      <c r="E11" s="176" t="s">
        <v>27</v>
      </c>
      <c r="F11" s="185">
        <v>418183</v>
      </c>
      <c r="G11" s="185">
        <v>59942.19</v>
      </c>
      <c r="H11" s="187">
        <v>56081</v>
      </c>
      <c r="I11" s="187">
        <v>3910.76</v>
      </c>
      <c r="J11" s="185">
        <f>F11-G11</f>
        <v>358240.81</v>
      </c>
      <c r="K11" s="180">
        <f>J11/H11</f>
        <v>6.3879176548207059</v>
      </c>
      <c r="L11" s="204">
        <f>+IF(E11="Weekdays",K11/$G$37,IF(E11="Saturdays",K11/$G$38,IF(E11="Sundays",K11/$G$39,"NA")))</f>
        <v>0.47237866600720568</v>
      </c>
      <c r="M11" s="189">
        <f>G11/F11</f>
        <v>0.14333961447500257</v>
      </c>
      <c r="N11" s="181">
        <f>+IF(E11="Weekdays",M11/$G$43,IF(E11="Saturdays",M11/$G$44,IF(E11="Sundays",M11/$G$45,"NA")))</f>
        <v>1.4848623226021389</v>
      </c>
      <c r="O11" s="192">
        <f>H11/I11</f>
        <v>14.340179402469085</v>
      </c>
      <c r="P11" s="193"/>
      <c r="Q11" s="8"/>
      <c r="S11" s="8"/>
      <c r="T11" s="10"/>
    </row>
    <row r="12" spans="1:20" x14ac:dyDescent="0.25">
      <c r="A12" s="174" t="s">
        <v>117</v>
      </c>
      <c r="B12" s="177">
        <v>83</v>
      </c>
      <c r="C12" s="177" t="s">
        <v>100</v>
      </c>
      <c r="D12" s="177" t="s">
        <v>18</v>
      </c>
      <c r="E12" s="177" t="s">
        <v>27</v>
      </c>
      <c r="F12" s="177">
        <v>901855</v>
      </c>
      <c r="G12" s="185">
        <v>89242.63</v>
      </c>
      <c r="H12" s="180">
        <v>79643</v>
      </c>
      <c r="I12" s="228">
        <v>7774.38</v>
      </c>
      <c r="J12" s="188">
        <f>F12-G12</f>
        <v>812612.37</v>
      </c>
      <c r="K12" s="180">
        <f>J12/H12</f>
        <v>10.20318634406037</v>
      </c>
      <c r="L12" s="231">
        <f>+IF(E12="Weekdays",K12/$G$37,IF(E12="Saturdays",K12/$G$38,IF(E12="Sundays",K12/$G$39,"NA")))</f>
        <v>0.75451310030474328</v>
      </c>
      <c r="M12" s="189">
        <f>G12/F12</f>
        <v>9.8954521513990618E-2</v>
      </c>
      <c r="N12" s="181">
        <f>+IF(E12="Weekdays",M12/$G$43,IF(E12="Saturdays",M12/$G$44,IF(E12="Sundays",M12/$G$45,"NA")))</f>
        <v>1.0250748977204183</v>
      </c>
      <c r="O12" s="192">
        <f>H12/I12</f>
        <v>10.244289576789402</v>
      </c>
      <c r="P12" s="320"/>
      <c r="Q12" s="8"/>
    </row>
    <row r="13" spans="1:20" x14ac:dyDescent="0.25">
      <c r="A13" s="174" t="s">
        <v>117</v>
      </c>
      <c r="B13" s="177">
        <v>87</v>
      </c>
      <c r="C13" s="177" t="s">
        <v>100</v>
      </c>
      <c r="D13" s="177" t="s">
        <v>18</v>
      </c>
      <c r="E13" s="177" t="s">
        <v>27</v>
      </c>
      <c r="F13" s="177">
        <v>1254344</v>
      </c>
      <c r="G13" s="185">
        <v>292485.84999999998</v>
      </c>
      <c r="H13" s="180">
        <v>159663</v>
      </c>
      <c r="I13" s="228">
        <v>11798.64</v>
      </c>
      <c r="J13" s="188">
        <f>F13-G13</f>
        <v>961858.15</v>
      </c>
      <c r="K13" s="180">
        <f>J13/H13</f>
        <v>6.0243021238483561</v>
      </c>
      <c r="L13" s="231">
        <f>+IF(E13="Weekdays",K13/$G$37,IF(E13="Saturdays",K13/$G$38,IF(E13="Sundays",K13/$G$39,"NA")))</f>
        <v>0.44548974402327923</v>
      </c>
      <c r="M13" s="189">
        <f>G13/F13</f>
        <v>0.23317833863756671</v>
      </c>
      <c r="N13" s="181">
        <f>+IF(E13="Weekdays",M13/$G$43,IF(E13="Saturdays",M13/$G$44,IF(E13="Sundays",M13/$G$45,"NA")))</f>
        <v>2.4155062140917565</v>
      </c>
      <c r="O13" s="192">
        <f>H13/I13</f>
        <v>13.532322369357825</v>
      </c>
      <c r="P13" s="320"/>
      <c r="Q13" s="8"/>
    </row>
    <row r="14" spans="1:20" s="175" customFormat="1" x14ac:dyDescent="0.25">
      <c r="A14" s="174" t="s">
        <v>117</v>
      </c>
      <c r="B14" s="177">
        <v>5</v>
      </c>
      <c r="C14" s="177" t="s">
        <v>100</v>
      </c>
      <c r="D14" s="177" t="s">
        <v>18</v>
      </c>
      <c r="E14" s="177" t="s">
        <v>60</v>
      </c>
      <c r="F14" s="185">
        <v>797854.09</v>
      </c>
      <c r="G14" s="185">
        <v>16999.57</v>
      </c>
      <c r="H14" s="187">
        <v>22988.720000000001</v>
      </c>
      <c r="I14" s="187">
        <v>2477.81</v>
      </c>
      <c r="J14" s="185">
        <f>F14-G14</f>
        <v>780854.52</v>
      </c>
      <c r="K14" s="180">
        <f>J14/H14</f>
        <v>33.966855048910944</v>
      </c>
      <c r="L14" s="204">
        <f>+IF(E14="Weekdays",K14/$G$37,IF(E14="Saturdays",K14/$G$38,IF(E14="Sundays",K14/$G$39,"NA")))</f>
        <v>1.038992280585322</v>
      </c>
      <c r="M14" s="189">
        <f>G14/F14</f>
        <v>2.1306615098006205E-2</v>
      </c>
      <c r="N14" s="181">
        <f>+IF(E14="Weekdays",M14/$G$43,IF(E14="Saturdays",M14/$G$44,IF(E14="Sundays",M14/$G$45,"NA")))</f>
        <v>0.39248329538686788</v>
      </c>
      <c r="O14" s="192">
        <f>H14/I14</f>
        <v>9.2778380908947824</v>
      </c>
      <c r="P14" s="145"/>
    </row>
    <row r="15" spans="1:20" s="175" customFormat="1" x14ac:dyDescent="0.25">
      <c r="A15" s="174" t="s">
        <v>117</v>
      </c>
      <c r="B15" s="177">
        <v>23</v>
      </c>
      <c r="C15" s="177" t="s">
        <v>100</v>
      </c>
      <c r="D15" s="177" t="s">
        <v>18</v>
      </c>
      <c r="E15" s="177" t="s">
        <v>60</v>
      </c>
      <c r="F15" s="185">
        <v>468118.35</v>
      </c>
      <c r="G15" s="185">
        <v>12210.68</v>
      </c>
      <c r="H15" s="187">
        <v>13773.77</v>
      </c>
      <c r="I15" s="187">
        <v>1196.27</v>
      </c>
      <c r="J15" s="185">
        <f>F15-G15</f>
        <v>455907.67</v>
      </c>
      <c r="K15" s="180">
        <f>J15/H15</f>
        <v>33.099701098537288</v>
      </c>
      <c r="L15" s="204">
        <f>+IF(E15="Weekdays",K15/$G$37,IF(E15="Saturdays",K15/$G$38,IF(E15="Sundays",K15/$G$39,"NA")))</f>
        <v>1.012467415118091</v>
      </c>
      <c r="M15" s="189">
        <f>G15/F15</f>
        <v>2.6084600187110805E-2</v>
      </c>
      <c r="N15" s="181">
        <f>+IF(E15="Weekdays",M15/$G$43,IF(E15="Saturdays",M15/$G$44,IF(E15="Sundays",M15/$G$45,"NA")))</f>
        <v>0.48049724431564794</v>
      </c>
      <c r="O15" s="192">
        <f>H15/I15</f>
        <v>11.513930801574896</v>
      </c>
      <c r="P15" s="145"/>
    </row>
    <row r="16" spans="1:20" s="175" customFormat="1" x14ac:dyDescent="0.25">
      <c r="A16" s="174" t="s">
        <v>117</v>
      </c>
      <c r="B16" s="177">
        <v>30</v>
      </c>
      <c r="C16" s="177" t="s">
        <v>100</v>
      </c>
      <c r="D16" s="177" t="s">
        <v>18</v>
      </c>
      <c r="E16" s="177" t="s">
        <v>60</v>
      </c>
      <c r="F16" s="185">
        <v>242088</v>
      </c>
      <c r="G16" s="185">
        <v>10952.23</v>
      </c>
      <c r="H16" s="187">
        <v>11033</v>
      </c>
      <c r="I16" s="187">
        <v>1769</v>
      </c>
      <c r="J16" s="185">
        <f>F16-G16</f>
        <v>231135.77</v>
      </c>
      <c r="K16" s="180">
        <f>J16/H16</f>
        <v>20.94949424453911</v>
      </c>
      <c r="L16" s="204">
        <f>+IF(E16="Weekdays",K16/$G$37,IF(E16="Saturdays",K16/$G$38,IF(E16="Sundays",K16/$G$39,"NA")))</f>
        <v>0.64081183762523952</v>
      </c>
      <c r="M16" s="189">
        <f>G16/F16</f>
        <v>4.5240697597567825E-2</v>
      </c>
      <c r="N16" s="181">
        <f>+IF(E16="Weekdays",M16/$G$43,IF(E16="Saturdays",M16/$G$44,IF(E16="Sundays",M16/$G$45,"NA")))</f>
        <v>0.83336644497584889</v>
      </c>
      <c r="O16" s="192">
        <f>H16/I16</f>
        <v>6.2368569813453929</v>
      </c>
      <c r="P16" s="193"/>
    </row>
    <row r="17" spans="1:16" s="175" customFormat="1" x14ac:dyDescent="0.25">
      <c r="A17" s="174" t="s">
        <v>117</v>
      </c>
      <c r="B17" s="177">
        <v>32</v>
      </c>
      <c r="C17" s="177" t="s">
        <v>100</v>
      </c>
      <c r="D17" s="177" t="s">
        <v>18</v>
      </c>
      <c r="E17" s="177" t="s">
        <v>60</v>
      </c>
      <c r="F17" s="185">
        <v>634081.38</v>
      </c>
      <c r="G17" s="185">
        <v>0</v>
      </c>
      <c r="H17" s="187">
        <v>46229.04</v>
      </c>
      <c r="I17" s="187">
        <v>1964.31</v>
      </c>
      <c r="J17" s="185">
        <f>F17-G17</f>
        <v>634081.38</v>
      </c>
      <c r="K17" s="180">
        <f>J17/H17</f>
        <v>13.716083656506818</v>
      </c>
      <c r="L17" s="204">
        <f>+IF(E17="Weekdays",K17/$G$37,IF(E17="Saturdays",K17/$G$38,IF(E17="Sundays",K17/$G$39,"NA")))</f>
        <v>0.41955326798587428</v>
      </c>
      <c r="M17" s="189">
        <f>G17/F17</f>
        <v>0</v>
      </c>
      <c r="N17" s="181">
        <f>+IF(E17="Weekdays",M17/$G$43,IF(E17="Saturdays",M17/$G$44,IF(E17="Sundays",M17/$G$45,"NA")))</f>
        <v>0</v>
      </c>
      <c r="O17" s="192">
        <f>H17/I17</f>
        <v>23.534493028086199</v>
      </c>
      <c r="P17" s="193"/>
    </row>
    <row r="18" spans="1:16" s="175" customFormat="1" x14ac:dyDescent="0.25">
      <c r="A18" s="174" t="s">
        <v>117</v>
      </c>
      <c r="B18" s="177">
        <v>46</v>
      </c>
      <c r="C18" s="177" t="s">
        <v>100</v>
      </c>
      <c r="D18" s="177" t="s">
        <v>18</v>
      </c>
      <c r="E18" s="177" t="s">
        <v>60</v>
      </c>
      <c r="F18" s="185">
        <v>34759.599999999999</v>
      </c>
      <c r="G18" s="185">
        <v>215</v>
      </c>
      <c r="H18" s="187">
        <v>242.28</v>
      </c>
      <c r="I18" s="187">
        <v>97</v>
      </c>
      <c r="J18" s="185">
        <f>F18-G18</f>
        <v>34544.6</v>
      </c>
      <c r="K18" s="180">
        <f>J18/H18</f>
        <v>142.58131087997359</v>
      </c>
      <c r="L18" s="204">
        <f>+IF(E18="Weekdays",K18/$G$37,IF(E18="Saturdays",K18/$G$38,IF(E18="Sundays",K18/$G$39,"NA")))</f>
        <v>4.3613364012273568</v>
      </c>
      <c r="M18" s="189">
        <f>G18/F18</f>
        <v>6.1853416034706957E-3</v>
      </c>
      <c r="N18" s="181">
        <f>+IF(E18="Weekdays",M18/$G$43,IF(E18="Saturdays",M18/$G$44,IF(E18="Sundays",M18/$G$45,"NA")))</f>
        <v>0.11393847612382327</v>
      </c>
      <c r="O18" s="192">
        <f>H18/I18</f>
        <v>2.4977319587628868</v>
      </c>
      <c r="P18" s="193" t="s">
        <v>116</v>
      </c>
    </row>
    <row r="19" spans="1:16" s="175" customFormat="1" x14ac:dyDescent="0.25">
      <c r="A19" s="174" t="s">
        <v>117</v>
      </c>
      <c r="B19" s="177">
        <v>65</v>
      </c>
      <c r="C19" s="177" t="s">
        <v>100</v>
      </c>
      <c r="D19" s="177" t="s">
        <v>18</v>
      </c>
      <c r="E19" s="177" t="s">
        <v>60</v>
      </c>
      <c r="F19" s="185">
        <v>106342</v>
      </c>
      <c r="G19" s="185">
        <v>7511.03</v>
      </c>
      <c r="H19" s="187">
        <v>7194</v>
      </c>
      <c r="I19" s="187">
        <v>971.5</v>
      </c>
      <c r="J19" s="185">
        <f>F19-G19</f>
        <v>98830.97</v>
      </c>
      <c r="K19" s="180">
        <f>J19/H19</f>
        <v>13.737971921045316</v>
      </c>
      <c r="L19" s="204">
        <f>+IF(E19="Weekdays",K19/$G$37,IF(E19="Saturdays",K19/$G$38,IF(E19="Sundays",K19/$G$39,"NA")))</f>
        <v>0.42022279531945173</v>
      </c>
      <c r="M19" s="189">
        <f>G19/F19</f>
        <v>7.0630889018449911E-2</v>
      </c>
      <c r="N19" s="181">
        <f>+IF(E19="Weekdays",M19/$G$43,IF(E19="Saturdays",M19/$G$44,IF(E19="Sundays",M19/$G$45,"NA")))</f>
        <v>1.3010721764368585</v>
      </c>
      <c r="O19" s="192">
        <f>H19/I19</f>
        <v>7.405043746783325</v>
      </c>
      <c r="P19" s="193"/>
    </row>
    <row r="20" spans="1:16" s="175" customFormat="1" x14ac:dyDescent="0.25">
      <c r="A20" s="174" t="s">
        <v>117</v>
      </c>
      <c r="B20" s="177">
        <v>80</v>
      </c>
      <c r="C20" s="177" t="s">
        <v>100</v>
      </c>
      <c r="D20" s="177" t="s">
        <v>18</v>
      </c>
      <c r="E20" s="177" t="s">
        <v>60</v>
      </c>
      <c r="F20" s="185">
        <v>45672</v>
      </c>
      <c r="G20" s="185">
        <v>6959.69</v>
      </c>
      <c r="H20" s="187">
        <v>5417</v>
      </c>
      <c r="I20" s="187">
        <v>425.14</v>
      </c>
      <c r="J20" s="185">
        <f>F20-G20</f>
        <v>38712.31</v>
      </c>
      <c r="K20" s="180">
        <f>J20/H20</f>
        <v>7.1464482185711642</v>
      </c>
      <c r="L20" s="204">
        <f>+IF(E20="Weekdays",K20/$G$37,IF(E20="Saturdays",K20/$G$38,IF(E20="Sundays",K20/$G$39,"NA")))</f>
        <v>0.21859852853631295</v>
      </c>
      <c r="M20" s="189">
        <f>G20/F20</f>
        <v>0.15238417411105271</v>
      </c>
      <c r="N20" s="181">
        <f>+IF(E20="Weekdays",M20/$G$43,IF(E20="Saturdays",M20/$G$44,IF(E20="Sundays",M20/$G$45,"NA")))</f>
        <v>2.8070269512452426</v>
      </c>
      <c r="O20" s="192">
        <f>H20/I20</f>
        <v>12.741685091969705</v>
      </c>
      <c r="P20" s="193"/>
    </row>
    <row r="21" spans="1:16" s="175" customFormat="1" x14ac:dyDescent="0.25">
      <c r="A21" s="174" t="s">
        <v>117</v>
      </c>
      <c r="B21" s="177">
        <v>83</v>
      </c>
      <c r="C21" s="177" t="s">
        <v>100</v>
      </c>
      <c r="D21" s="177" t="s">
        <v>18</v>
      </c>
      <c r="E21" s="177" t="s">
        <v>60</v>
      </c>
      <c r="F21" s="185">
        <v>163436</v>
      </c>
      <c r="G21" s="185">
        <v>11302.54</v>
      </c>
      <c r="H21" s="187">
        <v>10137</v>
      </c>
      <c r="I21" s="187">
        <v>1436.55</v>
      </c>
      <c r="J21" s="185">
        <f>F21-G21</f>
        <v>152133.46</v>
      </c>
      <c r="K21" s="180">
        <f>J21/H21</f>
        <v>15.007739962513563</v>
      </c>
      <c r="L21" s="204">
        <f>+IF(E21="Weekdays",K21/$G$37,IF(E21="Saturdays",K21/$G$38,IF(E21="Sundays",K21/$G$39,"NA")))</f>
        <v>0.45906298795193834</v>
      </c>
      <c r="M21" s="189">
        <f>G21/F21</f>
        <v>6.9155755157982335E-2</v>
      </c>
      <c r="N21" s="181">
        <f>+IF(E21="Weekdays",M21/$G$43,IF(E21="Saturdays",M21/$G$44,IF(E21="Sundays",M21/$G$45,"NA")))</f>
        <v>1.2738991413944578</v>
      </c>
      <c r="O21" s="192">
        <f>H21/I21</f>
        <v>7.0564895061083845</v>
      </c>
      <c r="P21" s="193"/>
    </row>
    <row r="22" spans="1:16" s="175" customFormat="1" x14ac:dyDescent="0.25">
      <c r="A22" s="174" t="s">
        <v>117</v>
      </c>
      <c r="B22" s="342">
        <v>87</v>
      </c>
      <c r="C22" s="342" t="s">
        <v>100</v>
      </c>
      <c r="D22" s="341" t="s">
        <v>18</v>
      </c>
      <c r="E22" s="342" t="s">
        <v>60</v>
      </c>
      <c r="F22" s="343">
        <v>143512</v>
      </c>
      <c r="G22" s="343">
        <v>14005.63</v>
      </c>
      <c r="H22" s="345">
        <v>9235</v>
      </c>
      <c r="I22" s="345">
        <v>1356.04</v>
      </c>
      <c r="J22" s="343">
        <f>F22-G22</f>
        <v>129506.37</v>
      </c>
      <c r="K22" s="346">
        <f>J22/H22</f>
        <v>14.023429344883594</v>
      </c>
      <c r="L22" s="204">
        <f>+IF(E22="Weekdays",K22/$G$37,IF(E22="Saturdays",K22/$G$38,IF(E22="Sundays",K22/$G$39,"NA")))</f>
        <v>0.42895448565041311</v>
      </c>
      <c r="M22" s="189">
        <f>G22/F22</f>
        <v>9.7592048051730856E-2</v>
      </c>
      <c r="N22" s="181">
        <f>+IF(E22="Weekdays",M22/$G$43,IF(E22="Saturdays",M22/$G$44,IF(E22="Sundays",M22/$G$45,"NA")))</f>
        <v>1.797716270121253</v>
      </c>
      <c r="O22" s="347">
        <f>H22/I22</f>
        <v>6.8102710834488658</v>
      </c>
      <c r="P22" s="193"/>
    </row>
    <row r="23" spans="1:16" s="175" customFormat="1" x14ac:dyDescent="0.25">
      <c r="A23" s="174" t="s">
        <v>117</v>
      </c>
      <c r="B23" s="176">
        <v>5</v>
      </c>
      <c r="C23" s="176" t="s">
        <v>100</v>
      </c>
      <c r="D23" s="177" t="s">
        <v>18</v>
      </c>
      <c r="E23" s="176" t="s">
        <v>59</v>
      </c>
      <c r="F23" s="185">
        <v>701609.38</v>
      </c>
      <c r="G23" s="185">
        <v>16725.650000000001</v>
      </c>
      <c r="H23" s="187">
        <v>22564.21</v>
      </c>
      <c r="I23" s="187">
        <v>2282.37</v>
      </c>
      <c r="J23" s="185">
        <f>F23-G23</f>
        <v>684883.73</v>
      </c>
      <c r="K23" s="180">
        <f>J23/H23</f>
        <v>30.352657150416523</v>
      </c>
      <c r="L23" s="204">
        <f>+IF(E23="Weekdays",K23/$G$37,IF(E23="Saturdays",K23/$G$38,IF(E23="Sundays",K23/$G$39,"NA")))</f>
        <v>1.1414315883463815</v>
      </c>
      <c r="M23" s="189">
        <f>G23/F23</f>
        <v>2.3838977181291392E-2</v>
      </c>
      <c r="N23" s="181">
        <f>+IF(E23="Weekdays",M23/$G$43,IF(E23="Saturdays",M23/$G$44,IF(E23="Sundays",M23/$G$45,"NA")))</f>
        <v>0.47686252462548345</v>
      </c>
      <c r="O23" s="192">
        <f>H23/I23</f>
        <v>9.8863067776039824</v>
      </c>
      <c r="P23" s="145"/>
    </row>
    <row r="24" spans="1:16" s="175" customFormat="1" x14ac:dyDescent="0.25">
      <c r="A24" s="174" t="s">
        <v>117</v>
      </c>
      <c r="B24" s="177">
        <v>23</v>
      </c>
      <c r="C24" s="177" t="s">
        <v>100</v>
      </c>
      <c r="D24" s="177" t="s">
        <v>18</v>
      </c>
      <c r="E24" s="177" t="s">
        <v>59</v>
      </c>
      <c r="F24" s="185">
        <v>523965.3</v>
      </c>
      <c r="G24" s="185">
        <v>15472.8</v>
      </c>
      <c r="H24" s="187">
        <v>18207.3</v>
      </c>
      <c r="I24" s="187">
        <v>1544.6</v>
      </c>
      <c r="J24" s="185">
        <f>F24-G24</f>
        <v>508492.5</v>
      </c>
      <c r="K24" s="180">
        <f>J24/H24</f>
        <v>27.927946483004071</v>
      </c>
      <c r="L24" s="204">
        <f>+IF(E24="Weekdays",K24/$G$37,IF(E24="Saturdays",K24/$G$38,IF(E24="Sundays",K24/$G$39,"NA")))</f>
        <v>1.050248752699749</v>
      </c>
      <c r="M24" s="189">
        <f>G24/F24</f>
        <v>2.9530199805216109E-2</v>
      </c>
      <c r="N24" s="181">
        <f>+IF(E24="Weekdays",M24/$G$43,IF(E24="Saturdays",M24/$G$44,IF(E24="Sundays",M24/$G$45,"NA")))</f>
        <v>0.5907067876578872</v>
      </c>
      <c r="O24" s="192">
        <f>H24/I24</f>
        <v>11.787712029004274</v>
      </c>
      <c r="P24" s="145"/>
    </row>
    <row r="25" spans="1:16" s="175" customFormat="1" x14ac:dyDescent="0.25">
      <c r="A25" s="174" t="s">
        <v>117</v>
      </c>
      <c r="B25" s="176">
        <v>30</v>
      </c>
      <c r="C25" s="176" t="s">
        <v>100</v>
      </c>
      <c r="D25" s="177" t="s">
        <v>18</v>
      </c>
      <c r="E25" s="176" t="s">
        <v>59</v>
      </c>
      <c r="F25" s="185">
        <v>233740</v>
      </c>
      <c r="G25" s="185">
        <v>11965.84</v>
      </c>
      <c r="H25" s="187">
        <v>12138</v>
      </c>
      <c r="I25" s="187">
        <v>1708</v>
      </c>
      <c r="J25" s="185">
        <f>F25-G25</f>
        <v>221774.16</v>
      </c>
      <c r="K25" s="180">
        <f>J25/H25</f>
        <v>18.271062778052396</v>
      </c>
      <c r="L25" s="204">
        <f>+IF(E25="Weekdays",K25/$G$37,IF(E25="Saturdays",K25/$G$38,IF(E25="Sundays",K25/$G$39,"NA")))</f>
        <v>0.6870953045124949</v>
      </c>
      <c r="M25" s="189">
        <f>G25/F25</f>
        <v>5.1192949430991702E-2</v>
      </c>
      <c r="N25" s="181">
        <f>+IF(E25="Weekdays",M25/$G$43,IF(E25="Saturdays",M25/$G$44,IF(E25="Sundays",M25/$G$45,"NA")))</f>
        <v>1.0240371859513218</v>
      </c>
      <c r="O25" s="192">
        <f>H25/I25</f>
        <v>7.1065573770491799</v>
      </c>
      <c r="P25" s="193"/>
    </row>
    <row r="26" spans="1:16" s="175" customFormat="1" x14ac:dyDescent="0.25">
      <c r="A26" s="174" t="s">
        <v>117</v>
      </c>
      <c r="B26" s="176">
        <v>32</v>
      </c>
      <c r="C26" s="176" t="s">
        <v>100</v>
      </c>
      <c r="D26" s="177" t="s">
        <v>18</v>
      </c>
      <c r="E26" s="176" t="s">
        <v>59</v>
      </c>
      <c r="F26" s="185">
        <v>595484.37</v>
      </c>
      <c r="G26" s="185">
        <v>0</v>
      </c>
      <c r="H26" s="187">
        <v>52527.31</v>
      </c>
      <c r="I26" s="187">
        <v>1958.55</v>
      </c>
      <c r="J26" s="185">
        <f>F26-G26</f>
        <v>595484.37</v>
      </c>
      <c r="K26" s="180">
        <f>J26/H26</f>
        <v>11.336662204860671</v>
      </c>
      <c r="L26" s="204">
        <f>+IF(E26="Weekdays",K26/$G$37,IF(E26="Saturdays",K26/$G$38,IF(E26="Sundays",K26/$G$39,"NA")))</f>
        <v>0.42632262088009432</v>
      </c>
      <c r="M26" s="189">
        <f>G26/F26</f>
        <v>0</v>
      </c>
      <c r="N26" s="181">
        <f>+IF(E26="Weekdays",M26/$G$43,IF(E26="Saturdays",M26/$G$44,IF(E26="Sundays",M26/$G$45,"NA")))</f>
        <v>0</v>
      </c>
      <c r="O26" s="192">
        <f>H26/I26</f>
        <v>26.819488907610221</v>
      </c>
      <c r="P26" s="145"/>
    </row>
    <row r="27" spans="1:16" s="175" customFormat="1" x14ac:dyDescent="0.25">
      <c r="A27" s="174" t="s">
        <v>117</v>
      </c>
      <c r="B27" s="176">
        <v>33</v>
      </c>
      <c r="C27" s="176" t="s">
        <v>100</v>
      </c>
      <c r="D27" s="177" t="s">
        <v>18</v>
      </c>
      <c r="E27" s="176" t="s">
        <v>59</v>
      </c>
      <c r="F27" s="185">
        <v>23513</v>
      </c>
      <c r="G27" s="185">
        <v>1306.8399999999999</v>
      </c>
      <c r="H27" s="187">
        <v>654</v>
      </c>
      <c r="I27" s="187">
        <v>162.4</v>
      </c>
      <c r="J27" s="185">
        <f>F27-G27</f>
        <v>22206.16</v>
      </c>
      <c r="K27" s="180">
        <f>J27/H27</f>
        <v>33.954373088685017</v>
      </c>
      <c r="L27" s="204">
        <f>+IF(E27="Weekdays",K27/$G$37,IF(E27="Saturdays",K27/$G$38,IF(E27="Sundays",K27/$G$39,"NA")))</f>
        <v>1.2768764795075451</v>
      </c>
      <c r="M27" s="189">
        <f>G27/F27</f>
        <v>5.5579466678007908E-2</v>
      </c>
      <c r="N27" s="181">
        <f>+IF(E27="Weekdays",M27/$G$43,IF(E27="Saturdays",M27/$G$44,IF(E27="Sundays",M27/$G$45,"NA")))</f>
        <v>1.1117827999018637</v>
      </c>
      <c r="O27" s="192">
        <f>H27/I27</f>
        <v>4.027093596059113</v>
      </c>
      <c r="P27" s="193"/>
    </row>
    <row r="28" spans="1:16" s="175" customFormat="1" x14ac:dyDescent="0.25">
      <c r="A28" s="174" t="s">
        <v>117</v>
      </c>
      <c r="B28" s="176">
        <v>46</v>
      </c>
      <c r="C28" s="176" t="s">
        <v>100</v>
      </c>
      <c r="D28" s="177" t="s">
        <v>18</v>
      </c>
      <c r="E28" s="176" t="s">
        <v>59</v>
      </c>
      <c r="F28" s="185">
        <v>27807.68</v>
      </c>
      <c r="G28" s="185">
        <v>301.29000000000002</v>
      </c>
      <c r="H28" s="187">
        <v>301.3</v>
      </c>
      <c r="I28" s="187">
        <v>77.599999999999994</v>
      </c>
      <c r="J28" s="185">
        <f>F28-G28</f>
        <v>27506.39</v>
      </c>
      <c r="K28" s="180">
        <f>J28/H28</f>
        <v>91.292366412213738</v>
      </c>
      <c r="L28" s="204">
        <f>+IF(E28="Weekdays",K28/$G$37,IF(E28="Saturdays",K28/$G$38,IF(E28="Sundays",K28/$G$39,"NA")))</f>
        <v>3.4331093413468414</v>
      </c>
      <c r="M28" s="189">
        <f>G28/F28</f>
        <v>1.0834776579707477E-2</v>
      </c>
      <c r="N28" s="181">
        <f>+IF(E28="Weekdays",M28/$G$43,IF(E28="Saturdays",M28/$G$44,IF(E28="Sundays",M28/$G$45,"NA")))</f>
        <v>0.21673324632430732</v>
      </c>
      <c r="O28" s="192">
        <f>H28/I28</f>
        <v>3.882731958762887</v>
      </c>
      <c r="P28" s="193" t="s">
        <v>116</v>
      </c>
    </row>
    <row r="29" spans="1:16" s="175" customFormat="1" x14ac:dyDescent="0.25">
      <c r="A29" s="174" t="s">
        <v>117</v>
      </c>
      <c r="B29" s="177">
        <v>65</v>
      </c>
      <c r="C29" s="177" t="s">
        <v>100</v>
      </c>
      <c r="D29" s="177" t="s">
        <v>18</v>
      </c>
      <c r="E29" s="177" t="s">
        <v>59</v>
      </c>
      <c r="F29" s="185">
        <v>180061</v>
      </c>
      <c r="G29" s="185">
        <v>10786.99</v>
      </c>
      <c r="H29" s="187">
        <v>11005</v>
      </c>
      <c r="I29" s="187">
        <v>1650.32</v>
      </c>
      <c r="J29" s="185">
        <f>F29-G29</f>
        <v>169274.01</v>
      </c>
      <c r="K29" s="180">
        <f>J29/H29</f>
        <v>15.381554747841891</v>
      </c>
      <c r="L29" s="204">
        <f>+IF(E29="Weekdays",K29/$G$37,IF(E29="Saturdays",K29/$G$38,IF(E29="Sundays",K29/$G$39,"NA")))</f>
        <v>0.57843345905632071</v>
      </c>
      <c r="M29" s="189">
        <f>G29/F29</f>
        <v>5.9907420263133046E-2</v>
      </c>
      <c r="N29" s="181">
        <f>+IF(E29="Weekdays",M29/$G$43,IF(E29="Saturdays",M29/$G$44,IF(E29="Sundays",M29/$G$45,"NA")))</f>
        <v>1.1983569367605695</v>
      </c>
      <c r="O29" s="192">
        <f>H29/I29</f>
        <v>6.6684037035241657</v>
      </c>
      <c r="P29" s="193"/>
    </row>
    <row r="30" spans="1:16" s="175" customFormat="1" x14ac:dyDescent="0.25">
      <c r="A30" s="174" t="s">
        <v>117</v>
      </c>
      <c r="B30" s="176">
        <v>80</v>
      </c>
      <c r="C30" s="176" t="s">
        <v>100</v>
      </c>
      <c r="D30" s="177" t="s">
        <v>18</v>
      </c>
      <c r="E30" s="176" t="s">
        <v>59</v>
      </c>
      <c r="F30" s="185">
        <v>81486</v>
      </c>
      <c r="G30" s="185">
        <v>8066.89</v>
      </c>
      <c r="H30" s="187">
        <v>7465</v>
      </c>
      <c r="I30" s="187">
        <v>759.53</v>
      </c>
      <c r="J30" s="185">
        <f>F30-G30</f>
        <v>73419.11</v>
      </c>
      <c r="K30" s="180">
        <f>J30/H30</f>
        <v>9.8351118553248487</v>
      </c>
      <c r="L30" s="204">
        <f>+IF(E30="Weekdays",K30/$G$37,IF(E30="Saturdays",K30/$G$38,IF(E30="Sundays",K30/$G$39,"NA")))</f>
        <v>0.36985583472825262</v>
      </c>
      <c r="M30" s="189">
        <f>G30/F30</f>
        <v>9.8997251061532052E-2</v>
      </c>
      <c r="N30" s="181">
        <f>+IF(E30="Weekdays",M30/$G$43,IF(E30="Saturdays",M30/$G$44,IF(E30="Sundays",M30/$G$45,"NA")))</f>
        <v>1.9802896203631362</v>
      </c>
      <c r="O30" s="192">
        <f>H30/I30</f>
        <v>9.8284465393072029</v>
      </c>
      <c r="P30" s="193"/>
    </row>
    <row r="31" spans="1:16" x14ac:dyDescent="0.25">
      <c r="A31" s="341" t="s">
        <v>117</v>
      </c>
      <c r="B31" s="177">
        <v>83</v>
      </c>
      <c r="C31" s="177" t="s">
        <v>100</v>
      </c>
      <c r="D31" s="177" t="s">
        <v>18</v>
      </c>
      <c r="E31" s="177" t="s">
        <v>59</v>
      </c>
      <c r="F31" s="185">
        <v>157689</v>
      </c>
      <c r="G31" s="185">
        <v>11946.71</v>
      </c>
      <c r="H31" s="187">
        <v>10629</v>
      </c>
      <c r="I31" s="187">
        <v>1390.6</v>
      </c>
      <c r="J31" s="185">
        <f>F31-G31</f>
        <v>145742.29</v>
      </c>
      <c r="K31" s="180">
        <f>J31/H31</f>
        <v>13.711759337661116</v>
      </c>
      <c r="L31" s="204">
        <f>+IF(E31="Weekdays",K31/$G$37,IF(E31="Saturdays",K31/$G$38,IF(E31="Sundays",K31/$G$39,"NA")))</f>
        <v>0.51563970700321637</v>
      </c>
      <c r="M31" s="189">
        <f>G31/F31</f>
        <v>7.5761213527893501E-2</v>
      </c>
      <c r="N31" s="181">
        <f>+IF(E31="Weekdays",M31/$G$43,IF(E31="Saturdays",M31/$G$44,IF(E31="Sundays",M31/$G$45,"NA")))</f>
        <v>1.5154879874609006</v>
      </c>
      <c r="O31" s="192">
        <f>H31/I31</f>
        <v>7.6434632532719693</v>
      </c>
      <c r="P31" s="193"/>
    </row>
    <row r="32" spans="1:16" ht="15.75" thickBot="1" x14ac:dyDescent="0.3">
      <c r="A32" s="196" t="s">
        <v>117</v>
      </c>
      <c r="B32" s="197">
        <v>87</v>
      </c>
      <c r="C32" s="197" t="s">
        <v>100</v>
      </c>
      <c r="D32" s="196" t="s">
        <v>18</v>
      </c>
      <c r="E32" s="197" t="s">
        <v>59</v>
      </c>
      <c r="F32" s="198">
        <v>282546</v>
      </c>
      <c r="G32" s="198">
        <v>26635.82</v>
      </c>
      <c r="H32" s="200">
        <v>18472</v>
      </c>
      <c r="I32" s="200">
        <v>2675.12</v>
      </c>
      <c r="J32" s="198">
        <f>F32-G32</f>
        <v>255910.18</v>
      </c>
      <c r="K32" s="206">
        <f>J32/H32</f>
        <v>13.853950844521437</v>
      </c>
      <c r="L32" s="321">
        <f>+IF(E32="Weekdays",K32/$G$37,IF(E32="Saturdays",K32/$G$38,IF(E32="Sundays",K32/$G$39,"NA")))</f>
        <v>0.5209869119191034</v>
      </c>
      <c r="M32" s="222">
        <f>G32/F32</f>
        <v>9.4270738216078093E-2</v>
      </c>
      <c r="N32" s="201">
        <f>+IF(E32="Weekdays",M32/$G$43,IF(E32="Saturdays",M32/$G$44,IF(E32="Sundays",M32/$G$45,"NA")))</f>
        <v>1.8857429109545298</v>
      </c>
      <c r="O32" s="202">
        <f>H32/I32</f>
        <v>6.9051107987679057</v>
      </c>
      <c r="P32" s="203"/>
    </row>
    <row r="33" spans="1:16" ht="15.75" thickTop="1" x14ac:dyDescent="0.25">
      <c r="A33" s="21"/>
      <c r="B33" s="21"/>
      <c r="C33" s="21"/>
      <c r="D33" s="21"/>
      <c r="E33" s="21"/>
      <c r="F33" s="21"/>
      <c r="G33" s="23"/>
      <c r="H33" s="24"/>
      <c r="I33" s="27"/>
      <c r="J33" s="27"/>
      <c r="K33" s="24"/>
      <c r="L33" s="21"/>
      <c r="M33" s="47"/>
      <c r="N33" s="47"/>
      <c r="O33" s="21"/>
      <c r="P33" s="21"/>
    </row>
    <row r="34" spans="1:16" x14ac:dyDescent="0.25">
      <c r="A34" s="21"/>
      <c r="B34" s="21"/>
      <c r="C34" s="21"/>
      <c r="D34" s="21"/>
      <c r="E34" s="21"/>
      <c r="F34" s="21"/>
      <c r="G34" s="23"/>
      <c r="H34" s="24"/>
      <c r="I34" s="27"/>
      <c r="J34" s="27"/>
      <c r="K34" s="24"/>
      <c r="L34" s="21"/>
      <c r="M34" s="47"/>
      <c r="N34" s="47"/>
      <c r="O34" s="21"/>
      <c r="P34" s="21"/>
    </row>
    <row r="35" spans="1:16" ht="15.75" thickBot="1" x14ac:dyDescent="0.3">
      <c r="A35" s="21"/>
      <c r="B35" s="21"/>
      <c r="C35" s="21"/>
      <c r="D35" s="21"/>
      <c r="E35" s="335" t="s">
        <v>87</v>
      </c>
      <c r="F35" s="335"/>
      <c r="G35" s="335"/>
      <c r="H35" s="335"/>
      <c r="I35" s="335"/>
      <c r="J35" s="335"/>
      <c r="K35" s="335"/>
      <c r="L35" s="21"/>
      <c r="M35" s="47"/>
      <c r="N35" s="47"/>
      <c r="O35" s="21"/>
      <c r="P35" s="21"/>
    </row>
    <row r="36" spans="1:16" ht="36" x14ac:dyDescent="0.25">
      <c r="A36" s="21"/>
      <c r="B36" s="21"/>
      <c r="C36" s="21"/>
      <c r="D36" s="21"/>
      <c r="E36" s="48" t="s">
        <v>57</v>
      </c>
      <c r="F36" s="75" t="s">
        <v>38</v>
      </c>
      <c r="G36" s="76" t="s">
        <v>39</v>
      </c>
      <c r="H36" s="76" t="s">
        <v>40</v>
      </c>
      <c r="I36" s="76" t="s">
        <v>41</v>
      </c>
      <c r="J36" s="77" t="s">
        <v>42</v>
      </c>
      <c r="K36" s="51" t="s">
        <v>56</v>
      </c>
      <c r="L36" s="21"/>
      <c r="M36" s="47"/>
      <c r="N36" s="47"/>
      <c r="O36" s="21"/>
      <c r="P36" s="21"/>
    </row>
    <row r="37" spans="1:16" x14ac:dyDescent="0.25">
      <c r="A37" s="21"/>
      <c r="B37" s="21"/>
      <c r="C37" s="21"/>
      <c r="D37" s="21"/>
      <c r="E37" s="52">
        <f>COUNTIF($E$4:$E$32, "Weekdays")</f>
        <v>10</v>
      </c>
      <c r="F37" s="59" t="s">
        <v>27</v>
      </c>
      <c r="G37" s="60">
        <f>AVERAGEIF($E$4:$E$32,"Weekdays",K4:K32)</f>
        <v>13.52287500368034</v>
      </c>
      <c r="H37" s="61">
        <f>G37*1.2</f>
        <v>16.227450004416408</v>
      </c>
      <c r="I37" s="62">
        <f>G37*1.35</f>
        <v>18.255881254968461</v>
      </c>
      <c r="J37" s="63">
        <f>G37*1.6</f>
        <v>21.636600005888546</v>
      </c>
      <c r="K37" s="58">
        <f>+SUMIF($E$4:$E$32,"Weekdays",$J$4:$J$32)/SUMIF($E$4:$E$32,"Weekdays",$H$4:$H$32)</f>
        <v>14.257514021541043</v>
      </c>
      <c r="L37" s="21"/>
      <c r="M37" s="47"/>
      <c r="N37" s="47"/>
      <c r="O37" s="21"/>
      <c r="P37" s="21"/>
    </row>
    <row r="38" spans="1:16" x14ac:dyDescent="0.25">
      <c r="A38" s="21"/>
      <c r="B38" s="21"/>
      <c r="C38" s="21"/>
      <c r="D38" s="21"/>
      <c r="E38" s="52">
        <f>COUNTIF($E$4:$E$32, "Saturdays")</f>
        <v>10</v>
      </c>
      <c r="F38" s="59" t="s">
        <v>59</v>
      </c>
      <c r="G38" s="60">
        <f>AVERAGEIF($E$4:$E$32,"Saturdays",K4:K32)</f>
        <v>26.591744490258172</v>
      </c>
      <c r="H38" s="61">
        <f>G38*1.2</f>
        <v>31.910093388309804</v>
      </c>
      <c r="I38" s="62">
        <f>G38*1.35</f>
        <v>35.898855061848536</v>
      </c>
      <c r="J38" s="63">
        <f>G38*1.6</f>
        <v>42.546791184413081</v>
      </c>
      <c r="K38" s="58">
        <f>+SUMIF($E$4:$E$32,"saturdays",$J$4:$J$32)/SUMIF($E$4:$E$32,"saturdays",$H$4:$H$32)</f>
        <v>17.567147898795501</v>
      </c>
      <c r="L38" s="21"/>
      <c r="M38" s="47"/>
      <c r="N38" s="47"/>
      <c r="O38" s="21"/>
      <c r="P38" s="21"/>
    </row>
    <row r="39" spans="1:16" ht="15.75" thickBot="1" x14ac:dyDescent="0.3">
      <c r="A39" s="21"/>
      <c r="B39" s="21"/>
      <c r="C39" s="21"/>
      <c r="D39" s="21"/>
      <c r="E39" s="64">
        <f>COUNTIF($E$4:$E$32, "Sundays")</f>
        <v>9</v>
      </c>
      <c r="F39" s="59" t="s">
        <v>60</v>
      </c>
      <c r="G39" s="78">
        <f>AVERAGEIF($E$4:$E$32,"Sundays",K4:K32)</f>
        <v>32.692114930609044</v>
      </c>
      <c r="H39" s="61">
        <f>G39*1.2</f>
        <v>39.230537916730853</v>
      </c>
      <c r="I39" s="62">
        <f>G39*1.35</f>
        <v>44.134355156322215</v>
      </c>
      <c r="J39" s="63">
        <f>G39*1.6</f>
        <v>52.307383888974471</v>
      </c>
      <c r="K39" s="74">
        <f>+SUMIF($E$4:$E$32,"Sundays",$J$4:$J$32)/SUMIF($E$4:$E$32,"Sundays",$H$4:$H$32)</f>
        <v>20.243254623511913</v>
      </c>
      <c r="L39" s="21"/>
      <c r="M39" s="47"/>
      <c r="N39" s="47"/>
      <c r="O39" s="21"/>
      <c r="P39" s="21"/>
    </row>
    <row r="40" spans="1:16" ht="15.75" thickBot="1" x14ac:dyDescent="0.3">
      <c r="A40" s="21"/>
      <c r="B40" s="21"/>
      <c r="C40" s="21"/>
      <c r="D40" s="21"/>
      <c r="E40" s="21"/>
      <c r="F40" s="70" t="s">
        <v>81</v>
      </c>
      <c r="G40" s="71">
        <v>15</v>
      </c>
      <c r="H40" s="72"/>
      <c r="I40" s="72"/>
      <c r="J40" s="73"/>
      <c r="K40" s="74">
        <f>+SUM($J$4:$J$32)/SUM($H$4:$H$32)</f>
        <v>15.090787070696186</v>
      </c>
      <c r="L40" s="21"/>
      <c r="M40" s="47"/>
      <c r="N40" s="47"/>
      <c r="O40" s="21"/>
      <c r="P40" s="21"/>
    </row>
    <row r="41" spans="1:16" ht="15.75" thickBot="1" x14ac:dyDescent="0.3">
      <c r="E41" s="334" t="s">
        <v>86</v>
      </c>
      <c r="F41" s="334"/>
      <c r="G41" s="334"/>
      <c r="H41" s="334"/>
      <c r="I41" s="334"/>
      <c r="J41" s="334"/>
      <c r="K41" s="334"/>
      <c r="M41" s="47"/>
      <c r="N41" s="47"/>
    </row>
    <row r="42" spans="1:16" ht="36" x14ac:dyDescent="0.25">
      <c r="E42" s="48" t="s">
        <v>57</v>
      </c>
      <c r="F42" s="48" t="s">
        <v>38</v>
      </c>
      <c r="G42" s="49" t="s">
        <v>39</v>
      </c>
      <c r="H42" s="49" t="s">
        <v>40</v>
      </c>
      <c r="I42" s="49" t="s">
        <v>41</v>
      </c>
      <c r="J42" s="50" t="s">
        <v>42</v>
      </c>
      <c r="K42" s="51" t="s">
        <v>56</v>
      </c>
      <c r="M42" s="47"/>
      <c r="N42" s="47"/>
    </row>
    <row r="43" spans="1:16" x14ac:dyDescent="0.25">
      <c r="E43" s="52">
        <f>COUNTIF(E4:E30, "Weekdays")</f>
        <v>10</v>
      </c>
      <c r="F43" s="53" t="s">
        <v>27</v>
      </c>
      <c r="G43" s="122">
        <f>AVERAGEIF($E$4:$E$73,"Weekdays",$M$4:$M$73)</f>
        <v>9.6533942772423401E-2</v>
      </c>
      <c r="H43" s="123">
        <f>G43*0.8</f>
        <v>7.7227154217938729E-2</v>
      </c>
      <c r="I43" s="124">
        <f>G43*0.65</f>
        <v>6.2747062802075218E-2</v>
      </c>
      <c r="J43" s="125">
        <f>G43*0.4</f>
        <v>3.8613577108969364E-2</v>
      </c>
      <c r="K43" s="130">
        <f>+SUMIF($E$4:$E$32,"Weekdays",$G$4:$G$32)/SUMIF($E$4:$E$32,"Weekdays",$F$4:$F$32)</f>
        <v>5.9958357253552128E-2</v>
      </c>
      <c r="M43" s="47"/>
      <c r="N43" s="47"/>
    </row>
    <row r="44" spans="1:16" x14ac:dyDescent="0.25">
      <c r="E44" s="52">
        <f>COUNTIF(E4:E30, "Saturdays")</f>
        <v>8</v>
      </c>
      <c r="F44" s="59" t="s">
        <v>59</v>
      </c>
      <c r="G44" s="126">
        <f>AVERAGEIF($E$4:$E$73,"Saturdays",$M$4:$M$73)</f>
        <v>4.9991299274385129E-2</v>
      </c>
      <c r="H44" s="127">
        <f>G44*0.8</f>
        <v>3.9993039419508103E-2</v>
      </c>
      <c r="I44" s="128">
        <f>G44*0.65</f>
        <v>3.2494344528350337E-2</v>
      </c>
      <c r="J44" s="129">
        <f>G44*0.4</f>
        <v>1.9996519709754051E-2</v>
      </c>
      <c r="K44" s="130">
        <f>+SUMIF($E$4:$E$32,"Saturdays",$G$4:$G$32)/SUMIF($E$4:$E$32,"Saturdays",$F$4:$F$32)</f>
        <v>3.6756567688000959E-2</v>
      </c>
      <c r="M44" s="47"/>
      <c r="N44" s="47"/>
    </row>
    <row r="45" spans="1:16" ht="15.75" thickBot="1" x14ac:dyDescent="0.3">
      <c r="E45" s="64">
        <f>COUNTIF(E4:E30, "Sundays")</f>
        <v>9</v>
      </c>
      <c r="F45" s="65" t="s">
        <v>60</v>
      </c>
      <c r="G45" s="137">
        <f>AVERAGEIF($E$4:$E$73,"Sundays",$M$4:$M$73)</f>
        <v>5.428668009170793E-2</v>
      </c>
      <c r="H45" s="138">
        <f>G45*0.8</f>
        <v>4.3429344073366349E-2</v>
      </c>
      <c r="I45" s="139">
        <f>G45*0.65</f>
        <v>3.5286342059610155E-2</v>
      </c>
      <c r="J45" s="140">
        <f>G45*0.4</f>
        <v>2.1714672036683175E-2</v>
      </c>
      <c r="K45" s="130">
        <f>+SUMIF($E$4:$E$32,"Sundays",$G$4:$G$32)/SUMIF($E$4:$E$32,"Sundays",$F$4:$F$32)</f>
        <v>3.0409910237306603E-2</v>
      </c>
      <c r="M45" s="47"/>
      <c r="N45" s="47"/>
    </row>
    <row r="46" spans="1:16" ht="15.75" thickBot="1" x14ac:dyDescent="0.3">
      <c r="E46" s="43"/>
      <c r="F46" s="84" t="s">
        <v>89</v>
      </c>
      <c r="G46" s="132">
        <f>AVERAGE(M:M)</f>
        <v>6.7373535906670931E-2</v>
      </c>
      <c r="H46" s="133">
        <f>G46*0.8</f>
        <v>5.3898828725336745E-2</v>
      </c>
      <c r="I46" s="134">
        <f>G46*0.65</f>
        <v>4.3792798339336109E-2</v>
      </c>
      <c r="J46" s="135">
        <f>G46*0.4</f>
        <v>2.6949414362668372E-2</v>
      </c>
      <c r="K46" s="131">
        <f>+SUM($G$4:$G$32)/SUM($F$4:$F$32)</f>
        <v>5.4053607950395592E-2</v>
      </c>
      <c r="M46" s="47"/>
      <c r="N46" s="47"/>
    </row>
    <row r="47" spans="1:16" x14ac:dyDescent="0.25">
      <c r="M47" s="47"/>
      <c r="N47" s="47"/>
    </row>
    <row r="48" spans="1:16" x14ac:dyDescent="0.25">
      <c r="M48" s="47"/>
      <c r="N48" s="47"/>
    </row>
    <row r="49" spans="13:14" x14ac:dyDescent="0.25">
      <c r="M49" s="47"/>
      <c r="N49" s="47"/>
    </row>
    <row r="50" spans="13:14" x14ac:dyDescent="0.25">
      <c r="M50" s="47"/>
      <c r="N50" s="47"/>
    </row>
    <row r="51" spans="13:14" x14ac:dyDescent="0.25">
      <c r="M51" s="47"/>
      <c r="N51" s="47"/>
    </row>
    <row r="52" spans="13:14" x14ac:dyDescent="0.25">
      <c r="M52" s="47"/>
      <c r="N52" s="47"/>
    </row>
    <row r="53" spans="13:14" x14ac:dyDescent="0.25">
      <c r="M53" s="47"/>
      <c r="N53" s="47"/>
    </row>
    <row r="54" spans="13:14" x14ac:dyDescent="0.25">
      <c r="M54" s="136"/>
      <c r="N54" s="47"/>
    </row>
    <row r="55" spans="13:14" x14ac:dyDescent="0.25">
      <c r="M55" s="136"/>
      <c r="N55" s="47"/>
    </row>
    <row r="56" spans="13:14" x14ac:dyDescent="0.25">
      <c r="M56" s="136"/>
      <c r="N56" s="47"/>
    </row>
    <row r="57" spans="13:14" x14ac:dyDescent="0.25">
      <c r="M57" s="136"/>
      <c r="N57" s="47"/>
    </row>
    <row r="58" spans="13:14" x14ac:dyDescent="0.25">
      <c r="M58" s="136"/>
      <c r="N58" s="47"/>
    </row>
    <row r="59" spans="13:14" x14ac:dyDescent="0.25">
      <c r="M59" s="136"/>
      <c r="N59" s="47"/>
    </row>
    <row r="60" spans="13:14" x14ac:dyDescent="0.25">
      <c r="M60" s="136"/>
      <c r="N60" s="47"/>
    </row>
    <row r="61" spans="13:14" x14ac:dyDescent="0.25">
      <c r="M61" s="136"/>
      <c r="N61" s="47"/>
    </row>
    <row r="62" spans="13:14" x14ac:dyDescent="0.25">
      <c r="M62" s="136"/>
      <c r="N62" s="47"/>
    </row>
    <row r="63" spans="13:14" x14ac:dyDescent="0.25">
      <c r="M63" s="136"/>
      <c r="N63" s="47"/>
    </row>
    <row r="64" spans="13:14" x14ac:dyDescent="0.25">
      <c r="M64" s="136"/>
      <c r="N64" s="47"/>
    </row>
    <row r="65" spans="13:14" x14ac:dyDescent="0.25">
      <c r="M65" s="136"/>
      <c r="N65" s="47"/>
    </row>
    <row r="66" spans="13:14" x14ac:dyDescent="0.25">
      <c r="M66" s="136"/>
      <c r="N66" s="47"/>
    </row>
    <row r="67" spans="13:14" x14ac:dyDescent="0.25">
      <c r="M67" s="136"/>
      <c r="N67" s="47"/>
    </row>
    <row r="68" spans="13:14" x14ac:dyDescent="0.25">
      <c r="M68" s="136"/>
      <c r="N68" s="47"/>
    </row>
    <row r="69" spans="13:14" x14ac:dyDescent="0.25">
      <c r="M69" s="136"/>
      <c r="N69" s="47"/>
    </row>
    <row r="70" spans="13:14" x14ac:dyDescent="0.25">
      <c r="M70" s="136"/>
      <c r="N70" s="47"/>
    </row>
    <row r="71" spans="13:14" x14ac:dyDescent="0.25">
      <c r="M71" s="136"/>
      <c r="N71" s="47"/>
    </row>
    <row r="72" spans="13:14" x14ac:dyDescent="0.25">
      <c r="M72" s="136"/>
      <c r="N72" s="47"/>
    </row>
    <row r="73" spans="13:14" x14ac:dyDescent="0.25">
      <c r="M73" s="136"/>
      <c r="N73" s="47"/>
    </row>
  </sheetData>
  <autoFilter ref="A3:P32" xr:uid="{ECC12A5D-51DF-447F-A92C-EE50EFD3A187}">
    <sortState xmlns:xlrd2="http://schemas.microsoft.com/office/spreadsheetml/2017/richdata2" ref="A4:P32">
      <sortCondition descending="1" ref="E4:E32"/>
      <sortCondition ref="B4:B32"/>
    </sortState>
  </autoFilter>
  <sortState xmlns:xlrd2="http://schemas.microsoft.com/office/spreadsheetml/2017/richdata2" ref="A4:T73">
    <sortCondition ref="E4:E30" customList="Weekday,Wk,Saturday,Sat,Sunday,Sun,Sunday/Holiday,Sunday / Holiday,Reduced"/>
    <sortCondition ref="B4:B30"/>
  </sortState>
  <mergeCells count="3">
    <mergeCell ref="A2:P2"/>
    <mergeCell ref="E35:K35"/>
    <mergeCell ref="E41:K41"/>
  </mergeCells>
  <conditionalFormatting sqref="L1">
    <cfRule type="cellIs" dxfId="58" priority="8" operator="greaterThan">
      <formula>1.6</formula>
    </cfRule>
  </conditionalFormatting>
  <conditionalFormatting sqref="L4:L32">
    <cfRule type="cellIs" dxfId="57" priority="5" operator="greaterThan">
      <formula>1.6</formula>
    </cfRule>
    <cfRule type="cellIs" dxfId="56" priority="6" operator="between">
      <formula>1.35</formula>
      <formula>1.6</formula>
    </cfRule>
    <cfRule type="cellIs" dxfId="55" priority="7" operator="between">
      <formula>1.2</formula>
      <formula>1.35</formula>
    </cfRule>
  </conditionalFormatting>
  <conditionalFormatting sqref="N4:N30">
    <cfRule type="cellIs" dxfId="54" priority="1" operator="lessThan">
      <formula>0.4</formula>
    </cfRule>
    <cfRule type="cellIs" dxfId="53" priority="2" operator="between">
      <formula>0.65</formula>
      <formula>0.4</formula>
    </cfRule>
    <cfRule type="cellIs" dxfId="52" priority="3" operator="between">
      <formula>0.8</formula>
      <formula>0.65</formula>
    </cfRule>
  </conditionalFormatting>
  <conditionalFormatting sqref="O4:O32">
    <cfRule type="cellIs" dxfId="51" priority="20" operator="lessThan">
      <formula>15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99148-0E12-4E72-99D8-E08F9F3D27D6}">
  <dimension ref="A1:T107"/>
  <sheetViews>
    <sheetView zoomScale="80" zoomScaleNormal="80"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26" customWidth="1"/>
    <col min="2" max="3" width="10.7109375" customWidth="1"/>
    <col min="4" max="4" width="20.7109375" customWidth="1"/>
    <col min="5" max="5" width="10.7109375" customWidth="1"/>
    <col min="6" max="6" width="12.5703125" customWidth="1"/>
    <col min="7" max="7" width="15.140625" bestFit="1" customWidth="1"/>
    <col min="8" max="8" width="12.5703125" customWidth="1"/>
    <col min="9" max="9" width="14.7109375" customWidth="1"/>
    <col min="10" max="10" width="11.7109375" style="5" customWidth="1"/>
    <col min="11" max="11" width="13.140625" customWidth="1"/>
    <col min="12" max="14" width="14.140625" customWidth="1"/>
    <col min="15" max="15" width="12.28515625" customWidth="1"/>
    <col min="16" max="16" width="52.140625" style="309" customWidth="1"/>
    <col min="17" max="17" width="16.42578125" bestFit="1" customWidth="1"/>
    <col min="18" max="18" width="20.85546875" bestFit="1" customWidth="1"/>
    <col min="19" max="19" width="26.7109375" bestFit="1" customWidth="1"/>
    <col min="20" max="20" width="19.7109375" bestFit="1" customWidth="1"/>
  </cols>
  <sheetData>
    <row r="1" spans="1:20" s="14" customFormat="1" ht="22.5" x14ac:dyDescent="0.45">
      <c r="A1" s="13" t="s">
        <v>45</v>
      </c>
      <c r="J1" s="16"/>
      <c r="M1"/>
      <c r="N1"/>
      <c r="P1" s="306"/>
    </row>
    <row r="2" spans="1:20" s="18" customFormat="1" ht="37.5" thickBot="1" x14ac:dyDescent="0.75">
      <c r="A2" s="336" t="s">
        <v>93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</row>
    <row r="3" spans="1:20" ht="75.75" thickBot="1" x14ac:dyDescent="0.3">
      <c r="A3" s="44" t="s">
        <v>7</v>
      </c>
      <c r="B3" s="45" t="s">
        <v>65</v>
      </c>
      <c r="C3" s="45" t="s">
        <v>66</v>
      </c>
      <c r="D3" s="38" t="s">
        <v>0</v>
      </c>
      <c r="E3" s="38" t="s">
        <v>1</v>
      </c>
      <c r="F3" s="39" t="s">
        <v>2</v>
      </c>
      <c r="G3" s="39" t="s">
        <v>32</v>
      </c>
      <c r="H3" s="39" t="s">
        <v>34</v>
      </c>
      <c r="I3" s="40" t="s">
        <v>58</v>
      </c>
      <c r="J3" s="40" t="s">
        <v>33</v>
      </c>
      <c r="K3" s="41" t="s">
        <v>13</v>
      </c>
      <c r="L3" s="42" t="s">
        <v>64</v>
      </c>
      <c r="M3" s="120" t="s">
        <v>86</v>
      </c>
      <c r="N3" s="120" t="s">
        <v>88</v>
      </c>
      <c r="O3" s="42" t="s">
        <v>36</v>
      </c>
      <c r="P3" s="46" t="s">
        <v>37</v>
      </c>
    </row>
    <row r="4" spans="1:20" ht="15.75" thickTop="1" x14ac:dyDescent="0.25">
      <c r="A4" s="207" t="s">
        <v>117</v>
      </c>
      <c r="B4" s="209">
        <v>219</v>
      </c>
      <c r="C4" s="209" t="s">
        <v>100</v>
      </c>
      <c r="D4" s="209" t="s">
        <v>19</v>
      </c>
      <c r="E4" s="209" t="s">
        <v>27</v>
      </c>
      <c r="F4" s="224">
        <v>1298046</v>
      </c>
      <c r="G4" s="224">
        <v>102459.81</v>
      </c>
      <c r="H4" s="324">
        <v>85923</v>
      </c>
      <c r="I4" s="324">
        <v>10266.61</v>
      </c>
      <c r="J4" s="224">
        <f>F4-G4</f>
        <v>1195586.19</v>
      </c>
      <c r="K4" s="220">
        <f>J4/H4</f>
        <v>13.914623441918927</v>
      </c>
      <c r="L4" s="221">
        <f>+IF(E4="Weekdays",K4/$G$98,IF(E4="Saturdays",K4/$G$99,IF(E4="Sundays",K4/$G$100, "NA")))</f>
        <v>0.37558794292139575</v>
      </c>
      <c r="M4" s="221">
        <f>G4/F4</f>
        <v>7.8933882158259416E-2</v>
      </c>
      <c r="N4" s="215">
        <f>+IF(E4="Weekdays",M4/$G$104,IF(E4="Saturdays",M4/$G$105,IF(E4="Sundays",M4/$G$106,"NA")))</f>
        <v>1.1740992299638811</v>
      </c>
      <c r="O4" s="216">
        <f>H4/I4</f>
        <v>8.369169570091783</v>
      </c>
      <c r="P4" s="217"/>
    </row>
    <row r="5" spans="1:20" x14ac:dyDescent="0.25">
      <c r="A5" s="174" t="s">
        <v>117</v>
      </c>
      <c r="B5" s="177">
        <v>223</v>
      </c>
      <c r="C5" s="177" t="s">
        <v>100</v>
      </c>
      <c r="D5" s="177" t="s">
        <v>19</v>
      </c>
      <c r="E5" s="177" t="s">
        <v>27</v>
      </c>
      <c r="F5" s="185">
        <v>34144</v>
      </c>
      <c r="G5" s="185">
        <v>606.04</v>
      </c>
      <c r="H5" s="228">
        <v>650</v>
      </c>
      <c r="I5" s="228">
        <v>393.16</v>
      </c>
      <c r="J5" s="185">
        <f>F5-G5</f>
        <v>33537.96</v>
      </c>
      <c r="K5" s="180">
        <f>J5/H5</f>
        <v>51.596861538461539</v>
      </c>
      <c r="L5" s="189">
        <f>+IF(E5="Weekdays",K5/$G$98,IF(E5="Saturdays",K5/$G$99,IF(E5="Sundays",K5/$G$100, "NA")))</f>
        <v>1.3927189023347604</v>
      </c>
      <c r="M5" s="189">
        <f>G5/F5</f>
        <v>1.7749531396438614E-2</v>
      </c>
      <c r="N5" s="181">
        <f>+IF(E5="Weekdays",M5/$G$104,IF(E5="Saturdays",M5/$G$105,IF(E5="Sundays",M5/$G$106,"NA")))</f>
        <v>0.26401477508727472</v>
      </c>
      <c r="O5" s="182">
        <f>H5/I5</f>
        <v>1.6532709329535049</v>
      </c>
      <c r="P5" s="183"/>
    </row>
    <row r="6" spans="1:20" x14ac:dyDescent="0.25">
      <c r="A6" s="174" t="s">
        <v>117</v>
      </c>
      <c r="B6" s="177">
        <v>225</v>
      </c>
      <c r="C6" s="177" t="s">
        <v>100</v>
      </c>
      <c r="D6" s="177" t="s">
        <v>19</v>
      </c>
      <c r="E6" s="177" t="s">
        <v>27</v>
      </c>
      <c r="F6" s="185">
        <v>218119</v>
      </c>
      <c r="G6" s="185">
        <v>17994.39</v>
      </c>
      <c r="H6" s="228">
        <v>15650</v>
      </c>
      <c r="I6" s="228">
        <v>1885.23</v>
      </c>
      <c r="J6" s="185">
        <f>F6-G6</f>
        <v>200124.61</v>
      </c>
      <c r="K6" s="180">
        <f>J6/H6</f>
        <v>12.78751501597444</v>
      </c>
      <c r="L6" s="189">
        <f>+IF(E6="Weekdays",K6/$G$98,IF(E6="Saturdays",K6/$G$99,IF(E6="Sundays",K6/$G$100, "NA")))</f>
        <v>0.34516467369554299</v>
      </c>
      <c r="M6" s="189">
        <f>G6/F6</f>
        <v>8.2498040060700814E-2</v>
      </c>
      <c r="N6" s="181">
        <f>+IF(E6="Weekdays",M6/$G$104,IF(E6="Saturdays",M6/$G$105,IF(E6="Sundays",M6/$G$106,"NA")))</f>
        <v>1.2271141702443555</v>
      </c>
      <c r="O6" s="182">
        <f>H6/I6</f>
        <v>8.3013743681142351</v>
      </c>
      <c r="P6" s="183"/>
    </row>
    <row r="7" spans="1:20" x14ac:dyDescent="0.25">
      <c r="A7" s="174" t="s">
        <v>117</v>
      </c>
      <c r="B7" s="177">
        <v>227</v>
      </c>
      <c r="C7" s="177" t="s">
        <v>100</v>
      </c>
      <c r="D7" s="177" t="s">
        <v>19</v>
      </c>
      <c r="E7" s="177" t="s">
        <v>27</v>
      </c>
      <c r="F7" s="185">
        <v>206813</v>
      </c>
      <c r="G7" s="185">
        <v>16117.81</v>
      </c>
      <c r="H7" s="228">
        <v>10884</v>
      </c>
      <c r="I7" s="228">
        <v>1771.83</v>
      </c>
      <c r="J7" s="185">
        <f>F7-G7</f>
        <v>190695.19</v>
      </c>
      <c r="K7" s="180">
        <f>J7/H7</f>
        <v>17.520690003675121</v>
      </c>
      <c r="L7" s="189">
        <f>+IF(E7="Weekdays",K7/$G$98,IF(E7="Saturdays",K7/$G$99,IF(E7="Sundays",K7/$G$100, "NA")))</f>
        <v>0.47292403883667683</v>
      </c>
      <c r="M7" s="189">
        <f>G7/F7</f>
        <v>7.7934220769487403E-2</v>
      </c>
      <c r="N7" s="181">
        <f>+IF(E7="Weekdays",M7/$G$104,IF(E7="Saturdays",M7/$G$105,IF(E7="Sundays",M7/$G$106,"NA")))</f>
        <v>1.1592298020998286</v>
      </c>
      <c r="O7" s="182">
        <f>H7/I7</f>
        <v>6.142801510302907</v>
      </c>
      <c r="P7" s="183"/>
    </row>
    <row r="8" spans="1:20" x14ac:dyDescent="0.25">
      <c r="A8" s="174" t="s">
        <v>117</v>
      </c>
      <c r="B8" s="177">
        <v>323</v>
      </c>
      <c r="C8" s="177" t="s">
        <v>100</v>
      </c>
      <c r="D8" s="177" t="s">
        <v>19</v>
      </c>
      <c r="E8" s="177" t="s">
        <v>27</v>
      </c>
      <c r="F8" s="185">
        <v>770597</v>
      </c>
      <c r="G8" s="185">
        <v>54337.53</v>
      </c>
      <c r="H8" s="228">
        <v>46438</v>
      </c>
      <c r="I8" s="228">
        <v>6337.8</v>
      </c>
      <c r="J8" s="185">
        <f>F8-G8</f>
        <v>716259.47</v>
      </c>
      <c r="K8" s="180">
        <f>J8/H8</f>
        <v>15.423994788750592</v>
      </c>
      <c r="L8" s="189">
        <f>+IF(E8="Weekdays",K8/$G$98,IF(E8="Saturdays",K8/$G$99,IF(E8="Sundays",K8/$G$100, "NA")))</f>
        <v>0.41632937452587343</v>
      </c>
      <c r="M8" s="189">
        <f>G8/F8</f>
        <v>7.0513549884050938E-2</v>
      </c>
      <c r="N8" s="181">
        <f>+IF(E8="Weekdays",M8/$G$104,IF(E8="Saturdays",M8/$G$105,IF(E8="Sundays",M8/$G$106,"NA")))</f>
        <v>1.0488512962645538</v>
      </c>
      <c r="O8" s="182">
        <f>H8/I8</f>
        <v>7.327148221780428</v>
      </c>
      <c r="P8" s="183"/>
    </row>
    <row r="9" spans="1:20" x14ac:dyDescent="0.25">
      <c r="A9" s="174" t="s">
        <v>8</v>
      </c>
      <c r="B9" s="177">
        <v>410</v>
      </c>
      <c r="C9" s="177" t="s">
        <v>103</v>
      </c>
      <c r="D9" s="177" t="s">
        <v>19</v>
      </c>
      <c r="E9" s="177" t="s">
        <v>27</v>
      </c>
      <c r="F9" s="185">
        <v>441357.78</v>
      </c>
      <c r="G9" s="180">
        <v>12522.32</v>
      </c>
      <c r="H9" s="228">
        <v>5691</v>
      </c>
      <c r="I9" s="228">
        <v>2052.62</v>
      </c>
      <c r="J9" s="185">
        <f>F9-G9</f>
        <v>428835.46</v>
      </c>
      <c r="K9" s="180">
        <f>J9/H9</f>
        <v>75.353270075557901</v>
      </c>
      <c r="L9" s="189">
        <f>+IF(E9="Weekdays",K9/$G$98,IF(E9="Saturdays",K9/$G$99,IF(E9="Sundays",K9/$G$100, "NA")))</f>
        <v>2.0339594397371736</v>
      </c>
      <c r="M9" s="189">
        <f>G9/F9</f>
        <v>2.8372265240232085E-2</v>
      </c>
      <c r="N9" s="181">
        <f>+IF(E9="Weekdays",M9/$G$104,IF(E9="Saturdays",M9/$G$105,IF(E9="Sundays",M9/$G$106,"NA")))</f>
        <v>0.42202225280264921</v>
      </c>
      <c r="O9" s="182">
        <f>H9/I9</f>
        <v>2.7725541015872399</v>
      </c>
      <c r="P9" s="193" t="s">
        <v>111</v>
      </c>
      <c r="Q9" s="2"/>
      <c r="S9" s="2"/>
      <c r="T9" s="2"/>
    </row>
    <row r="10" spans="1:20" x14ac:dyDescent="0.25">
      <c r="A10" s="174" t="s">
        <v>8</v>
      </c>
      <c r="B10" s="176">
        <v>420</v>
      </c>
      <c r="C10" s="176" t="s">
        <v>100</v>
      </c>
      <c r="D10" s="177" t="s">
        <v>19</v>
      </c>
      <c r="E10" s="176" t="s">
        <v>27</v>
      </c>
      <c r="F10" s="185">
        <v>594581.81000000006</v>
      </c>
      <c r="G10" s="180">
        <v>13956.96</v>
      </c>
      <c r="H10" s="186">
        <v>6343</v>
      </c>
      <c r="I10" s="187">
        <v>2558.21</v>
      </c>
      <c r="J10" s="185">
        <f>F10-G10</f>
        <v>580624.85000000009</v>
      </c>
      <c r="K10" s="180">
        <f>J10/H10</f>
        <v>91.5378921645909</v>
      </c>
      <c r="L10" s="189">
        <f>+IF(E10="Weekdays",K10/$G$98,IF(E10="Saturdays",K10/$G$99,IF(E10="Sundays",K10/$G$100, "NA")))</f>
        <v>2.4708199083480138</v>
      </c>
      <c r="M10" s="189">
        <f>G10/F10</f>
        <v>2.3473573804755309E-2</v>
      </c>
      <c r="N10" s="181">
        <f>+IF(E10="Weekdays",M10/$G$104,IF(E10="Saturdays",M10/$G$105,IF(E10="Sundays",M10/$G$106,"NA")))</f>
        <v>0.3491568408279499</v>
      </c>
      <c r="O10" s="182">
        <f>H10/I10</f>
        <v>2.4794680655614667</v>
      </c>
      <c r="P10" s="183"/>
      <c r="Q10" s="8"/>
      <c r="S10" s="8"/>
      <c r="T10" s="10"/>
    </row>
    <row r="11" spans="1:20" x14ac:dyDescent="0.25">
      <c r="A11" s="174" t="s">
        <v>8</v>
      </c>
      <c r="B11" s="176">
        <v>425</v>
      </c>
      <c r="C11" s="176" t="s">
        <v>104</v>
      </c>
      <c r="D11" s="177" t="s">
        <v>19</v>
      </c>
      <c r="E11" s="176" t="s">
        <v>27</v>
      </c>
      <c r="F11" s="185">
        <v>1522985.31</v>
      </c>
      <c r="G11" s="180">
        <v>43430.94</v>
      </c>
      <c r="H11" s="186">
        <v>19738</v>
      </c>
      <c r="I11" s="187">
        <v>6552.7</v>
      </c>
      <c r="J11" s="185">
        <f>F11-G11</f>
        <v>1479554.37</v>
      </c>
      <c r="K11" s="180">
        <f>J11/H11</f>
        <v>74.959690444827245</v>
      </c>
      <c r="L11" s="189">
        <f>+IF(E11="Weekdays",K11/$G$98,IF(E11="Saturdays",K11/$G$99,IF(E11="Sundays",K11/$G$100, "NA")))</f>
        <v>2.02333581312601</v>
      </c>
      <c r="M11" s="189">
        <f>G11/F11</f>
        <v>2.8516978932646434E-2</v>
      </c>
      <c r="N11" s="181">
        <f>+IF(E11="Weekdays",M11/$G$104,IF(E11="Saturdays",M11/$G$105,IF(E11="Sundays",M11/$G$106,"NA")))</f>
        <v>0.42417479148671217</v>
      </c>
      <c r="O11" s="182">
        <f>H11/I11</f>
        <v>3.0121934469760556</v>
      </c>
      <c r="P11" s="183"/>
    </row>
    <row r="12" spans="1:20" x14ac:dyDescent="0.25">
      <c r="A12" s="174" t="s">
        <v>8</v>
      </c>
      <c r="B12" s="177">
        <v>436</v>
      </c>
      <c r="C12" s="177" t="s">
        <v>100</v>
      </c>
      <c r="D12" s="177" t="s">
        <v>19</v>
      </c>
      <c r="E12" s="177" t="s">
        <v>27</v>
      </c>
      <c r="F12" s="185">
        <v>571674.4</v>
      </c>
      <c r="G12" s="180">
        <v>25150.25</v>
      </c>
      <c r="H12" s="228">
        <v>11430</v>
      </c>
      <c r="I12" s="228">
        <v>2459.65</v>
      </c>
      <c r="J12" s="185">
        <f>F12-G12</f>
        <v>546524.15</v>
      </c>
      <c r="K12" s="180">
        <f>J12/H12</f>
        <v>47.814886264216973</v>
      </c>
      <c r="L12" s="189">
        <f>+IF(E12="Weekdays",K12/$G$98,IF(E12="Saturdays",K12/$G$99,IF(E12="Sundays",K12/$G$100, "NA")))</f>
        <v>1.2906346224861347</v>
      </c>
      <c r="M12" s="189">
        <f>G12/F12</f>
        <v>4.3994011276348916E-2</v>
      </c>
      <c r="N12" s="181">
        <f>+IF(E12="Weekdays",M12/$G$104,IF(E12="Saturdays",M12/$G$105,IF(E12="Sundays",M12/$G$106,"NA")))</f>
        <v>0.65438736003153375</v>
      </c>
      <c r="O12" s="182">
        <f>H12/I12</f>
        <v>4.6470026223243144</v>
      </c>
      <c r="P12" s="183"/>
    </row>
    <row r="13" spans="1:20" x14ac:dyDescent="0.25">
      <c r="A13" s="174" t="s">
        <v>8</v>
      </c>
      <c r="B13" s="177">
        <v>440</v>
      </c>
      <c r="C13" s="177" t="s">
        <v>100</v>
      </c>
      <c r="D13" s="177" t="s">
        <v>19</v>
      </c>
      <c r="E13" s="177" t="s">
        <v>27</v>
      </c>
      <c r="F13" s="233">
        <v>955108.2</v>
      </c>
      <c r="G13" s="236">
        <v>31676.55</v>
      </c>
      <c r="H13" s="234">
        <v>14396</v>
      </c>
      <c r="I13" s="235">
        <v>4263.05</v>
      </c>
      <c r="J13" s="185">
        <f>F13-G13</f>
        <v>923431.64999999991</v>
      </c>
      <c r="K13" s="180">
        <f>J13/H13</f>
        <v>64.145015976660176</v>
      </c>
      <c r="L13" s="189">
        <f>+IF(E13="Weekdays",K13/$G$98,IF(E13="Saturdays",K13/$G$99,IF(E13="Sundays",K13/$G$100, "NA")))</f>
        <v>1.7314226791617287</v>
      </c>
      <c r="M13" s="189">
        <f>G13/F13</f>
        <v>3.3165404715402927E-2</v>
      </c>
      <c r="N13" s="181">
        <f>+IF(E13="Weekdays",M13/$G$104,IF(E13="Saturdays",M13/$G$105,IF(E13="Sundays",M13/$G$106,"NA")))</f>
        <v>0.49331763588826005</v>
      </c>
      <c r="O13" s="182">
        <f>H13/I13</f>
        <v>3.3769249715579219</v>
      </c>
      <c r="P13" s="183"/>
    </row>
    <row r="14" spans="1:20" x14ac:dyDescent="0.25">
      <c r="A14" s="174" t="s">
        <v>8</v>
      </c>
      <c r="B14" s="177">
        <v>442</v>
      </c>
      <c r="C14" s="177" t="s">
        <v>100</v>
      </c>
      <c r="D14" s="177" t="s">
        <v>19</v>
      </c>
      <c r="E14" s="177" t="s">
        <v>27</v>
      </c>
      <c r="F14" s="233">
        <v>1577238.88</v>
      </c>
      <c r="G14" s="236">
        <v>68796.83</v>
      </c>
      <c r="H14" s="234">
        <v>31266</v>
      </c>
      <c r="I14" s="235">
        <v>6939.79</v>
      </c>
      <c r="J14" s="185">
        <f>F14-G14</f>
        <v>1508442.0499999998</v>
      </c>
      <c r="K14" s="180">
        <f>J14/H14</f>
        <v>48.245443932706451</v>
      </c>
      <c r="L14" s="189">
        <f>+IF(E14="Weekdays",K14/$G$98,IF(E14="Saturdays",K14/$G$99,IF(E14="Sundays",K14/$G$100, "NA")))</f>
        <v>1.3022563720571525</v>
      </c>
      <c r="M14" s="189">
        <f>G14/F14</f>
        <v>4.3618522769360089E-2</v>
      </c>
      <c r="N14" s="181">
        <f>+IF(E14="Weekdays",M14/$G$104,IF(E14="Saturdays",M14/$G$105,IF(E14="Sundays",M14/$G$106,"NA")))</f>
        <v>0.6488021695548768</v>
      </c>
      <c r="O14" s="182">
        <f>H14/I14</f>
        <v>4.5053236481219177</v>
      </c>
      <c r="P14" s="183"/>
    </row>
    <row r="15" spans="1:20" x14ac:dyDescent="0.25">
      <c r="A15" s="174" t="s">
        <v>8</v>
      </c>
      <c r="B15" s="177">
        <v>444</v>
      </c>
      <c r="C15" s="177" t="s">
        <v>100</v>
      </c>
      <c r="D15" s="177" t="s">
        <v>19</v>
      </c>
      <c r="E15" s="177" t="s">
        <v>27</v>
      </c>
      <c r="F15" s="233">
        <v>3222730.73</v>
      </c>
      <c r="G15" s="236">
        <v>286206.78000000003</v>
      </c>
      <c r="H15" s="234">
        <v>130072</v>
      </c>
      <c r="I15" s="235">
        <v>13650.79</v>
      </c>
      <c r="J15" s="185">
        <f>F15-G15</f>
        <v>2936523.95</v>
      </c>
      <c r="K15" s="180">
        <f>J15/H15</f>
        <v>22.576142059782274</v>
      </c>
      <c r="L15" s="189">
        <f>+IF(E15="Weekdays",K15/$G$98,IF(E15="Saturdays",K15/$G$99,IF(E15="Sundays",K15/$G$100, "NA")))</f>
        <v>0.60938240914160646</v>
      </c>
      <c r="M15" s="189">
        <f>G15/F15</f>
        <v>8.8808778634757377E-2</v>
      </c>
      <c r="N15" s="181">
        <f>+IF(E15="Weekdays",M15/$G$104,IF(E15="Saturdays",M15/$G$105,IF(E15="Sundays",M15/$G$106,"NA")))</f>
        <v>1.3209830272891356</v>
      </c>
      <c r="O15" s="182">
        <f>H15/I15</f>
        <v>9.5285327808866729</v>
      </c>
      <c r="P15" s="183"/>
    </row>
    <row r="16" spans="1:20" x14ac:dyDescent="0.25">
      <c r="A16" s="174" t="s">
        <v>8</v>
      </c>
      <c r="B16" s="177">
        <v>445</v>
      </c>
      <c r="C16" s="177" t="s">
        <v>100</v>
      </c>
      <c r="D16" s="177" t="s">
        <v>19</v>
      </c>
      <c r="E16" s="177" t="s">
        <v>27</v>
      </c>
      <c r="F16" s="233">
        <v>1139202.3999999999</v>
      </c>
      <c r="G16" s="236">
        <v>74000.710000000006</v>
      </c>
      <c r="H16" s="234">
        <v>33631</v>
      </c>
      <c r="I16" s="235">
        <v>4901.46</v>
      </c>
      <c r="J16" s="185">
        <f>F16-G16</f>
        <v>1065201.69</v>
      </c>
      <c r="K16" s="180">
        <f>J16/H16</f>
        <v>31.673208944128927</v>
      </c>
      <c r="L16" s="189">
        <f>+IF(E16="Weekdays",K16/$G$98,IF(E16="Saturdays",K16/$G$99,IF(E16="Sundays",K16/$G$100, "NA")))</f>
        <v>0.85493333274165717</v>
      </c>
      <c r="M16" s="189">
        <f>G16/F16</f>
        <v>6.4958351562461603E-2</v>
      </c>
      <c r="N16" s="181">
        <f>+IF(E16="Weekdays",M16/$G$104,IF(E16="Saturdays",M16/$G$105,IF(E16="Sundays",M16/$G$106,"NA")))</f>
        <v>0.96622069590211856</v>
      </c>
      <c r="O16" s="182">
        <f>H16/I16</f>
        <v>6.8614249631742377</v>
      </c>
      <c r="P16" s="183"/>
    </row>
    <row r="17" spans="1:16" x14ac:dyDescent="0.25">
      <c r="A17" s="174" t="s">
        <v>8</v>
      </c>
      <c r="B17" s="177">
        <v>446</v>
      </c>
      <c r="C17" s="177" t="s">
        <v>100</v>
      </c>
      <c r="D17" s="177" t="s">
        <v>19</v>
      </c>
      <c r="E17" s="177" t="s">
        <v>27</v>
      </c>
      <c r="F17" s="233">
        <v>1459876.03</v>
      </c>
      <c r="G17" s="236">
        <v>89346.1</v>
      </c>
      <c r="H17" s="234">
        <v>40605</v>
      </c>
      <c r="I17" s="235">
        <v>6281.17</v>
      </c>
      <c r="J17" s="185">
        <f>F17-G17</f>
        <v>1370529.93</v>
      </c>
      <c r="K17" s="180">
        <f>J17/H17</f>
        <v>33.752738086442555</v>
      </c>
      <c r="L17" s="189">
        <f>+IF(E17="Weekdays",K17/$G$98,IF(E17="Saturdays",K17/$G$99,IF(E17="Sundays",K17/$G$100, "NA")))</f>
        <v>0.91106464495911221</v>
      </c>
      <c r="M17" s="189">
        <f>G17/F17</f>
        <v>6.1201155552913632E-2</v>
      </c>
      <c r="N17" s="181">
        <f>+IF(E17="Weekdays",M17/$G$104,IF(E17="Saturdays",M17/$G$105,IF(E17="Sundays",M17/$G$106,"NA")))</f>
        <v>0.91033441714556251</v>
      </c>
      <c r="O17" s="182">
        <f>H17/I17</f>
        <v>6.4645599466341457</v>
      </c>
      <c r="P17" s="183"/>
    </row>
    <row r="18" spans="1:16" x14ac:dyDescent="0.25">
      <c r="A18" s="174" t="s">
        <v>8</v>
      </c>
      <c r="B18" s="176">
        <v>447</v>
      </c>
      <c r="C18" s="176" t="s">
        <v>100</v>
      </c>
      <c r="D18" s="177" t="s">
        <v>19</v>
      </c>
      <c r="E18" s="176" t="s">
        <v>27</v>
      </c>
      <c r="F18" s="185">
        <v>746215.62</v>
      </c>
      <c r="G18" s="180">
        <v>23121.51</v>
      </c>
      <c r="H18" s="186">
        <v>10508</v>
      </c>
      <c r="I18" s="187">
        <v>3210.62</v>
      </c>
      <c r="J18" s="185">
        <f>F18-G18</f>
        <v>723094.11</v>
      </c>
      <c r="K18" s="180">
        <f>J18/H18</f>
        <v>68.813676246669203</v>
      </c>
      <c r="L18" s="189">
        <f>+IF(E18="Weekdays",K18/$G$98,IF(E18="Saturdays",K18/$G$99,IF(E18="Sundays",K18/$G$100, "NA")))</f>
        <v>1.8574406425173879</v>
      </c>
      <c r="M18" s="189">
        <f>G18/F18</f>
        <v>3.098502548097291E-2</v>
      </c>
      <c r="N18" s="181">
        <f>+IF(E18="Weekdays",M18/$G$104,IF(E18="Saturdays",M18/$G$105,IF(E18="Sundays",M18/$G$106,"NA")))</f>
        <v>0.46088566231522771</v>
      </c>
      <c r="O18" s="182">
        <f>H18/I18</f>
        <v>3.2728881026094649</v>
      </c>
      <c r="P18" s="183"/>
    </row>
    <row r="19" spans="1:16" x14ac:dyDescent="0.25">
      <c r="A19" s="174" t="s">
        <v>8</v>
      </c>
      <c r="B19" s="177">
        <v>489</v>
      </c>
      <c r="C19" s="177" t="s">
        <v>100</v>
      </c>
      <c r="D19" s="177" t="s">
        <v>19</v>
      </c>
      <c r="E19" s="177" t="s">
        <v>27</v>
      </c>
      <c r="F19" s="185">
        <v>316868.42</v>
      </c>
      <c r="G19" s="180">
        <v>6678.13</v>
      </c>
      <c r="H19" s="228">
        <v>3035</v>
      </c>
      <c r="I19" s="228">
        <v>1517</v>
      </c>
      <c r="J19" s="185">
        <f>F19-G19</f>
        <v>310190.28999999998</v>
      </c>
      <c r="K19" s="180">
        <f>J19/H19</f>
        <v>102.20437891268533</v>
      </c>
      <c r="L19" s="189">
        <f>+IF(E19="Weekdays",K19/$G$98,IF(E19="Saturdays",K19/$G$99,IF(E19="Sundays",K19/$G$100, "NA")))</f>
        <v>2.758733112225749</v>
      </c>
      <c r="M19" s="189">
        <f>G19/F19</f>
        <v>2.1075404106221756E-2</v>
      </c>
      <c r="N19" s="181">
        <f>+IF(E19="Weekdays",M19/$G$104,IF(E19="Saturdays",M19/$G$105,IF(E19="Sundays",M19/$G$106,"NA")))</f>
        <v>0.3134853507227805</v>
      </c>
      <c r="O19" s="182">
        <f>H19/I19</f>
        <v>2.000659195781147</v>
      </c>
      <c r="P19" s="183"/>
    </row>
    <row r="20" spans="1:16" x14ac:dyDescent="0.25">
      <c r="A20" s="174" t="s">
        <v>8</v>
      </c>
      <c r="B20" s="177">
        <v>495</v>
      </c>
      <c r="C20" s="177" t="s">
        <v>100</v>
      </c>
      <c r="D20" s="177" t="s">
        <v>80</v>
      </c>
      <c r="E20" s="177" t="s">
        <v>27</v>
      </c>
      <c r="F20" s="233">
        <v>1969796.15</v>
      </c>
      <c r="G20" s="236">
        <v>129604.11</v>
      </c>
      <c r="H20" s="234">
        <v>58901</v>
      </c>
      <c r="I20" s="235">
        <v>8475.1200000000008</v>
      </c>
      <c r="J20" s="185">
        <f>F20-G20</f>
        <v>1840192.0399999998</v>
      </c>
      <c r="K20" s="180">
        <f>J20/H20</f>
        <v>31.242118809527849</v>
      </c>
      <c r="L20" s="189">
        <f>+IF(E20="Weekdays",K20/$G$98,IF(E20="Saturdays",K20/$G$99,IF(E20="Sundays",K20/$G$100, "NA")))</f>
        <v>0.84329721067594954</v>
      </c>
      <c r="M20" s="189">
        <f>G20/F20</f>
        <v>6.5795696676531734E-2</v>
      </c>
      <c r="N20" s="181">
        <f>+IF(E20="Weekdays",M20/$G$104,IF(E20="Saturdays",M20/$G$105,IF(E20="Sundays",M20/$G$106,"NA")))</f>
        <v>0.97867575609632806</v>
      </c>
      <c r="O20" s="182">
        <f>H20/I20</f>
        <v>6.949872096206307</v>
      </c>
      <c r="P20" s="183"/>
    </row>
    <row r="21" spans="1:16" x14ac:dyDescent="0.25">
      <c r="A21" s="174" t="s">
        <v>8</v>
      </c>
      <c r="B21" s="176">
        <v>497</v>
      </c>
      <c r="C21" s="176" t="s">
        <v>100</v>
      </c>
      <c r="D21" s="177" t="s">
        <v>19</v>
      </c>
      <c r="E21" s="176" t="s">
        <v>27</v>
      </c>
      <c r="F21" s="185">
        <v>725057.86</v>
      </c>
      <c r="G21" s="180">
        <v>19099.23</v>
      </c>
      <c r="H21" s="186">
        <v>8680</v>
      </c>
      <c r="I21" s="187">
        <v>3273.25</v>
      </c>
      <c r="J21" s="185">
        <f>F21-G21</f>
        <v>705958.63</v>
      </c>
      <c r="K21" s="180">
        <f>J21/H21</f>
        <v>81.331639400921659</v>
      </c>
      <c r="L21" s="189">
        <f>+IF(E21="Weekdays",K21/$G$98,IF(E21="Saturdays",K21/$G$99,IF(E21="Sundays",K21/$G$100, "NA")))</f>
        <v>2.1953294866026378</v>
      </c>
      <c r="M21" s="189">
        <f>G21/F21</f>
        <v>2.6341663270845722E-2</v>
      </c>
      <c r="N21" s="181">
        <f>+IF(E21="Weekdays",M21/$G$104,IF(E21="Saturdays",M21/$G$105,IF(E21="Sundays",M21/$G$106,"NA")))</f>
        <v>0.39181813584512287</v>
      </c>
      <c r="O21" s="182">
        <f>H21/I21</f>
        <v>2.6517986710455967</v>
      </c>
      <c r="P21" s="183"/>
    </row>
    <row r="22" spans="1:16" x14ac:dyDescent="0.25">
      <c r="A22" s="174" t="s">
        <v>8</v>
      </c>
      <c r="B22" s="176">
        <v>498</v>
      </c>
      <c r="C22" s="176" t="s">
        <v>105</v>
      </c>
      <c r="D22" s="177" t="s">
        <v>80</v>
      </c>
      <c r="E22" s="176" t="s">
        <v>27</v>
      </c>
      <c r="F22" s="185">
        <v>267958.21000000002</v>
      </c>
      <c r="G22" s="180">
        <v>2900.09</v>
      </c>
      <c r="H22" s="186">
        <v>1318</v>
      </c>
      <c r="I22" s="187">
        <v>1152.9000000000001</v>
      </c>
      <c r="J22" s="185">
        <f>F22-G22</f>
        <v>265058.12</v>
      </c>
      <c r="K22" s="180">
        <f>J22/H22</f>
        <v>201.10631259484066</v>
      </c>
      <c r="L22" s="189">
        <f>+IF(E22="Weekdays",K22/$G$98,IF(E22="Saturdays",K22/$G$99,IF(E22="Sundays",K22/$G$100, "NA")))</f>
        <v>5.4283255721066661</v>
      </c>
      <c r="M22" s="189">
        <f>G22/F22</f>
        <v>1.0822918991733823E-2</v>
      </c>
      <c r="N22" s="181">
        <f>+IF(E22="Weekdays",M22/$G$104,IF(E22="Saturdays",M22/$G$105,IF(E22="Sundays",M22/$G$106,"NA")))</f>
        <v>0.16098512459679523</v>
      </c>
      <c r="O22" s="182">
        <f>H22/I22</f>
        <v>1.143204094023766</v>
      </c>
      <c r="P22" s="183" t="s">
        <v>112</v>
      </c>
    </row>
    <row r="23" spans="1:16" x14ac:dyDescent="0.25">
      <c r="A23" s="174" t="s">
        <v>8</v>
      </c>
      <c r="B23" s="176">
        <v>499</v>
      </c>
      <c r="C23" s="176" t="s">
        <v>100</v>
      </c>
      <c r="D23" s="177" t="s">
        <v>19</v>
      </c>
      <c r="E23" s="176" t="s">
        <v>27</v>
      </c>
      <c r="F23" s="185">
        <v>777787.22</v>
      </c>
      <c r="G23" s="180">
        <v>15957.1</v>
      </c>
      <c r="H23" s="186">
        <v>7252</v>
      </c>
      <c r="I23" s="187">
        <v>3500.12</v>
      </c>
      <c r="J23" s="185">
        <f>F23-G23</f>
        <v>761830.12</v>
      </c>
      <c r="K23" s="180">
        <f>J23/H23</f>
        <v>105.05103695532267</v>
      </c>
      <c r="L23" s="189">
        <f>+IF(E23="Weekdays",K23/$G$98,IF(E23="Saturdays",K23/$G$99,IF(E23="Sundays",K23/$G$100, "NA")))</f>
        <v>2.8355710117849884</v>
      </c>
      <c r="M23" s="189">
        <f>G23/F23</f>
        <v>2.051602236405993E-2</v>
      </c>
      <c r="N23" s="181">
        <f>+IF(E23="Weekdays",M23/$G$104,IF(E23="Saturdays",M23/$G$105,IF(E23="Sundays",M23/$G$106,"NA")))</f>
        <v>0.30516484684320122</v>
      </c>
      <c r="O23" s="182">
        <f>H23/I23</f>
        <v>2.0719289624355737</v>
      </c>
      <c r="P23" s="183"/>
    </row>
    <row r="24" spans="1:16" x14ac:dyDescent="0.25">
      <c r="A24" s="174" t="s">
        <v>117</v>
      </c>
      <c r="B24" s="177">
        <v>501</v>
      </c>
      <c r="C24" s="177" t="s">
        <v>100</v>
      </c>
      <c r="D24" s="177" t="s">
        <v>19</v>
      </c>
      <c r="E24" s="177" t="s">
        <v>27</v>
      </c>
      <c r="F24" s="185">
        <v>110758.9</v>
      </c>
      <c r="G24" s="185">
        <v>1832.45</v>
      </c>
      <c r="H24" s="228">
        <v>1797.43</v>
      </c>
      <c r="I24" s="228">
        <v>183.52</v>
      </c>
      <c r="J24" s="185">
        <f>F24-G24</f>
        <v>108926.45</v>
      </c>
      <c r="K24" s="180">
        <f>J24/H24</f>
        <v>60.601219518979875</v>
      </c>
      <c r="L24" s="189">
        <f>+IF(E24="Weekdays",K24/$G$98,IF(E24="Saturdays",K24/$G$99,IF(E24="Sundays",K24/$G$100, "NA")))</f>
        <v>1.6357673977070752</v>
      </c>
      <c r="M24" s="189">
        <f>(G24/F24)</f>
        <v>1.6544494392775663E-2</v>
      </c>
      <c r="N24" s="181">
        <f>+IF(E24="Weekdays",M24/$G$104,IF(E24="Saturdays",M24/$G$105,IF(E24="Sundays",M24/$G$106,"NA")))</f>
        <v>0.24609049492527829</v>
      </c>
      <c r="O24" s="182">
        <f>H24/I24</f>
        <v>9.7941913687881428</v>
      </c>
      <c r="P24" s="183"/>
    </row>
    <row r="25" spans="1:16" x14ac:dyDescent="0.25">
      <c r="A25" s="174" t="s">
        <v>117</v>
      </c>
      <c r="B25" s="177">
        <v>515</v>
      </c>
      <c r="C25" s="177" t="s">
        <v>100</v>
      </c>
      <c r="D25" s="177" t="s">
        <v>19</v>
      </c>
      <c r="E25" s="177" t="s">
        <v>27</v>
      </c>
      <c r="F25" s="185">
        <v>3586675.89</v>
      </c>
      <c r="G25" s="185">
        <v>249243.94</v>
      </c>
      <c r="H25" s="228">
        <v>260050.13</v>
      </c>
      <c r="I25" s="228">
        <v>10248.64</v>
      </c>
      <c r="J25" s="185">
        <f>F25-G25</f>
        <v>3337431.95</v>
      </c>
      <c r="K25" s="180">
        <f>J25/H25</f>
        <v>12.833802274969061</v>
      </c>
      <c r="L25" s="189">
        <f>+IF(E25="Weekdays",K25/$G$98,IF(E25="Saturdays",K25/$G$99,IF(E25="Sundays",K25/$G$100, "NA")))</f>
        <v>0.34641407411674918</v>
      </c>
      <c r="M25" s="189">
        <f>G25/F25</f>
        <v>6.949162613073466E-2</v>
      </c>
      <c r="N25" s="181">
        <f>+IF(E25="Weekdays",M25/$G$104,IF(E25="Saturdays",M25/$G$105,IF(E25="Sundays",M25/$G$106,"NA")))</f>
        <v>1.0336507276488507</v>
      </c>
      <c r="O25" s="182">
        <f>H25/I25</f>
        <v>25.374111101570552</v>
      </c>
      <c r="P25" s="183"/>
    </row>
    <row r="26" spans="1:16" x14ac:dyDescent="0.25">
      <c r="A26" s="174" t="s">
        <v>117</v>
      </c>
      <c r="B26" s="177">
        <v>534</v>
      </c>
      <c r="C26" s="177" t="s">
        <v>100</v>
      </c>
      <c r="D26" s="177" t="s">
        <v>19</v>
      </c>
      <c r="E26" s="177" t="s">
        <v>27</v>
      </c>
      <c r="F26" s="233">
        <v>179253</v>
      </c>
      <c r="G26" s="233">
        <v>15903.93</v>
      </c>
      <c r="H26" s="234">
        <v>10531</v>
      </c>
      <c r="I26" s="235">
        <v>1675.8</v>
      </c>
      <c r="J26" s="185">
        <f>F26-G26</f>
        <v>163349.07</v>
      </c>
      <c r="K26" s="180">
        <f>J26/H26</f>
        <v>15.511259139682842</v>
      </c>
      <c r="L26" s="189">
        <f>+IF(E26="Weekdays",K26/$G$98,IF(E26="Saturdays",K26/$G$99,IF(E26="Sundays",K26/$G$100, "NA")))</f>
        <v>0.41868484164963876</v>
      </c>
      <c r="M26" s="189">
        <f>G26/F26</f>
        <v>8.8723368646549852E-2</v>
      </c>
      <c r="N26" s="181">
        <f>+IF(E26="Weekdays",M26/$G$104,IF(E26="Saturdays",M26/$G$105,IF(E26="Sundays",M26/$G$106,"NA")))</f>
        <v>1.3197125994494834</v>
      </c>
      <c r="O26" s="182">
        <f>H26/I26</f>
        <v>6.2841627879221864</v>
      </c>
      <c r="P26" s="183"/>
    </row>
    <row r="27" spans="1:16" x14ac:dyDescent="0.25">
      <c r="A27" s="174" t="s">
        <v>117</v>
      </c>
      <c r="B27" s="177">
        <v>537</v>
      </c>
      <c r="C27" s="177" t="s">
        <v>100</v>
      </c>
      <c r="D27" s="177" t="s">
        <v>19</v>
      </c>
      <c r="E27" s="177" t="s">
        <v>27</v>
      </c>
      <c r="F27" s="233">
        <v>94119</v>
      </c>
      <c r="G27" s="233">
        <v>11730.19</v>
      </c>
      <c r="H27" s="234">
        <v>6238</v>
      </c>
      <c r="I27" s="235">
        <v>773.64</v>
      </c>
      <c r="J27" s="185">
        <f>F27-G27</f>
        <v>82388.81</v>
      </c>
      <c r="K27" s="180">
        <f>J27/H27</f>
        <v>13.207568130811158</v>
      </c>
      <c r="L27" s="189">
        <f>+IF(E27="Weekdays",K27/$G$98,IF(E27="Saturdays",K27/$G$99,IF(E27="Sundays",K27/$G$100, "NA")))</f>
        <v>0.35650288101231176</v>
      </c>
      <c r="M27" s="189">
        <f>G27/F27</f>
        <v>0.12463147717251565</v>
      </c>
      <c r="N27" s="181">
        <f>+IF(E27="Weekdays",M27/$G$104,IF(E27="Saturdays",M27/$G$105,IF(E27="Sundays",M27/$G$106,"NA")))</f>
        <v>1.8538264858698592</v>
      </c>
      <c r="O27" s="182">
        <f>H27/I27</f>
        <v>8.0631818416834697</v>
      </c>
      <c r="P27" s="183"/>
    </row>
    <row r="28" spans="1:16" x14ac:dyDescent="0.25">
      <c r="A28" s="174" t="s">
        <v>117</v>
      </c>
      <c r="B28" s="177">
        <v>538</v>
      </c>
      <c r="C28" s="177" t="s">
        <v>100</v>
      </c>
      <c r="D28" s="177" t="s">
        <v>19</v>
      </c>
      <c r="E28" s="177" t="s">
        <v>27</v>
      </c>
      <c r="F28" s="233">
        <v>718724</v>
      </c>
      <c r="G28" s="233">
        <v>89725.57</v>
      </c>
      <c r="H28" s="234">
        <v>71586</v>
      </c>
      <c r="I28" s="235">
        <v>6942.6</v>
      </c>
      <c r="J28" s="185">
        <f>F28-G28</f>
        <v>628998.42999999993</v>
      </c>
      <c r="K28" s="180">
        <f>J28/H28</f>
        <v>8.7866123264325413</v>
      </c>
      <c r="L28" s="189">
        <f>+IF(E28="Weekdays",K28/$G$98,IF(E28="Saturdays",K28/$G$99,IF(E28="Sundays",K28/$G$100, "NA")))</f>
        <v>0.23717103540083037</v>
      </c>
      <c r="M28" s="189">
        <f>G28/F28</f>
        <v>0.12484009160679205</v>
      </c>
      <c r="N28" s="181">
        <f>+IF(E28="Weekdays",M28/$G$104,IF(E28="Saturdays",M28/$G$105,IF(E28="Sundays",M28/$G$106,"NA")))</f>
        <v>1.8569295138718547</v>
      </c>
      <c r="O28" s="182">
        <f>H28/I28</f>
        <v>10.311122634171635</v>
      </c>
      <c r="P28" s="183"/>
    </row>
    <row r="29" spans="1:16" x14ac:dyDescent="0.25">
      <c r="A29" s="174" t="s">
        <v>117</v>
      </c>
      <c r="B29" s="177">
        <v>539</v>
      </c>
      <c r="C29" s="177" t="s">
        <v>100</v>
      </c>
      <c r="D29" s="177" t="s">
        <v>19</v>
      </c>
      <c r="E29" s="177" t="s">
        <v>27</v>
      </c>
      <c r="F29" s="233">
        <v>674167</v>
      </c>
      <c r="G29" s="233">
        <v>172333.77</v>
      </c>
      <c r="H29" s="234">
        <v>113006</v>
      </c>
      <c r="I29" s="235">
        <v>6022.8</v>
      </c>
      <c r="J29" s="185">
        <f>F29-G29</f>
        <v>501833.23</v>
      </c>
      <c r="K29" s="180">
        <f>J29/H29</f>
        <v>4.4407662425003984</v>
      </c>
      <c r="L29" s="189">
        <f>+IF(E29="Weekdays",K29/$G$98,IF(E29="Saturdays",K29/$G$99,IF(E29="Sundays",K29/$G$100, "NA")))</f>
        <v>0.11986657526001189</v>
      </c>
      <c r="M29" s="189">
        <f>G29/F29</f>
        <v>0.25562474876403024</v>
      </c>
      <c r="N29" s="181">
        <f>+IF(E29="Weekdays",M29/$G$104,IF(E29="Saturdays",M29/$G$105,IF(E29="Sundays",M29/$G$106,"NA")))</f>
        <v>3.8022812571388753</v>
      </c>
      <c r="O29" s="182">
        <f>H29/I29</f>
        <v>18.763033804874809</v>
      </c>
      <c r="P29" s="183"/>
    </row>
    <row r="30" spans="1:16" x14ac:dyDescent="0.25">
      <c r="A30" s="174" t="s">
        <v>117</v>
      </c>
      <c r="B30" s="177">
        <v>540</v>
      </c>
      <c r="C30" s="177" t="s">
        <v>100</v>
      </c>
      <c r="D30" s="177" t="s">
        <v>19</v>
      </c>
      <c r="E30" s="177" t="s">
        <v>27</v>
      </c>
      <c r="F30" s="233">
        <v>1400090</v>
      </c>
      <c r="G30" s="233">
        <v>179630.83</v>
      </c>
      <c r="H30" s="234">
        <v>136816</v>
      </c>
      <c r="I30" s="235">
        <v>9727.2000000000007</v>
      </c>
      <c r="J30" s="185">
        <f>F30-G30</f>
        <v>1220459.17</v>
      </c>
      <c r="K30" s="180">
        <f>J30/H30</f>
        <v>8.9204418342883862</v>
      </c>
      <c r="L30" s="189">
        <f>+IF(E30="Weekdays",K30/$G$98,IF(E30="Saturdays",K30/$G$99,IF(E30="Sundays",K30/$G$100, "NA")))</f>
        <v>0.24078340405511481</v>
      </c>
      <c r="M30" s="189">
        <f>G30/F30</f>
        <v>0.12829948789006421</v>
      </c>
      <c r="N30" s="181">
        <f>+IF(E30="Weekdays",M30/$G$104,IF(E30="Saturdays",M30/$G$105,IF(E30="Sundays",M30/$G$106,"NA")))</f>
        <v>1.9083861811644407</v>
      </c>
      <c r="O30" s="182">
        <f>H30/I30</f>
        <v>14.065301422814375</v>
      </c>
      <c r="P30" s="183"/>
    </row>
    <row r="31" spans="1:16" x14ac:dyDescent="0.25">
      <c r="A31" s="174" t="s">
        <v>117</v>
      </c>
      <c r="B31" s="177">
        <v>542</v>
      </c>
      <c r="C31" s="177" t="s">
        <v>100</v>
      </c>
      <c r="D31" s="177" t="s">
        <v>19</v>
      </c>
      <c r="E31" s="177" t="s">
        <v>27</v>
      </c>
      <c r="F31" s="233">
        <v>614263</v>
      </c>
      <c r="G31" s="233">
        <v>40356.93</v>
      </c>
      <c r="H31" s="234">
        <v>28556</v>
      </c>
      <c r="I31" s="235">
        <v>3528</v>
      </c>
      <c r="J31" s="185">
        <f>F31-G31</f>
        <v>573906.06999999995</v>
      </c>
      <c r="K31" s="180">
        <f>J31/H31</f>
        <v>20.097565135172992</v>
      </c>
      <c r="L31" s="189">
        <f>+IF(E31="Weekdays",K31/$G$98,IF(E31="Saturdays",K31/$G$99,IF(E31="Sundays",K31/$G$100, "NA")))</f>
        <v>0.54247987222623739</v>
      </c>
      <c r="M31" s="189">
        <f>G31/F31</f>
        <v>6.5699757270094403E-2</v>
      </c>
      <c r="N31" s="181">
        <f>+IF(E31="Weekdays",M31/$G$104,IF(E31="Saturdays",M31/$G$105,IF(E31="Sundays",M31/$G$106,"NA")))</f>
        <v>0.97724870879875037</v>
      </c>
      <c r="O31" s="182">
        <f>H31/I31</f>
        <v>8.0941043083900226</v>
      </c>
      <c r="P31" s="183"/>
    </row>
    <row r="32" spans="1:16" x14ac:dyDescent="0.25">
      <c r="A32" s="174" t="s">
        <v>117</v>
      </c>
      <c r="B32" s="177">
        <v>546</v>
      </c>
      <c r="C32" s="177" t="s">
        <v>100</v>
      </c>
      <c r="D32" s="177" t="s">
        <v>19</v>
      </c>
      <c r="E32" s="177" t="s">
        <v>27</v>
      </c>
      <c r="F32" s="233">
        <v>407277</v>
      </c>
      <c r="G32" s="233">
        <v>51166.05</v>
      </c>
      <c r="H32" s="234">
        <v>34496</v>
      </c>
      <c r="I32" s="235">
        <v>3167.64</v>
      </c>
      <c r="J32" s="185">
        <f>F32-G32</f>
        <v>356110.95</v>
      </c>
      <c r="K32" s="180">
        <f>J32/H32</f>
        <v>10.323253420686457</v>
      </c>
      <c r="L32" s="189">
        <f>+IF(E32="Weekdays",K32/$G$98,IF(E32="Saturdays",K32/$G$99,IF(E32="Sundays",K32/$G$100, "NA")))</f>
        <v>0.27864854070367734</v>
      </c>
      <c r="M32" s="189">
        <f>G32/F32</f>
        <v>0.12562960835009099</v>
      </c>
      <c r="N32" s="181">
        <f>+IF(E32="Weekdays",M32/$G$104,IF(E32="Saturdays",M32/$G$105,IF(E32="Sundays",M32/$G$106,"NA")))</f>
        <v>1.8686731526617513</v>
      </c>
      <c r="O32" s="182">
        <f>H32/I32</f>
        <v>10.890126403252895</v>
      </c>
      <c r="P32" s="183"/>
    </row>
    <row r="33" spans="1:16" x14ac:dyDescent="0.25">
      <c r="A33" s="174" t="s">
        <v>117</v>
      </c>
      <c r="B33" s="177">
        <v>612</v>
      </c>
      <c r="C33" s="177" t="s">
        <v>100</v>
      </c>
      <c r="D33" s="177" t="s">
        <v>19</v>
      </c>
      <c r="E33" s="177" t="s">
        <v>27</v>
      </c>
      <c r="F33" s="185">
        <v>3502549.43</v>
      </c>
      <c r="G33" s="185">
        <v>138109.04</v>
      </c>
      <c r="H33" s="228">
        <v>138744.07</v>
      </c>
      <c r="I33" s="228">
        <v>10998.08</v>
      </c>
      <c r="J33" s="185">
        <f>F33-G33</f>
        <v>3364440.39</v>
      </c>
      <c r="K33" s="180">
        <f>J33/H33</f>
        <v>24.249255409618588</v>
      </c>
      <c r="L33" s="189">
        <f>+IF(E33="Weekdays",K33/$G$98,IF(E33="Saturdays",K33/$G$99,IF(E33="Sundays",K33/$G$100, "NA")))</f>
        <v>0.6545436169861707</v>
      </c>
      <c r="M33" s="189">
        <f>G33/F33</f>
        <v>3.943100383311364E-2</v>
      </c>
      <c r="N33" s="181">
        <f>+IF(E33="Weekdays",M33/$G$104,IF(E33="Saturdays",M33/$G$105,IF(E33="Sundays",M33/$G$106,"NA")))</f>
        <v>0.58651506769095729</v>
      </c>
      <c r="O33" s="182">
        <f>H33/I33</f>
        <v>12.615299215863134</v>
      </c>
      <c r="P33" s="183"/>
    </row>
    <row r="34" spans="1:16" x14ac:dyDescent="0.25">
      <c r="A34" s="174" t="s">
        <v>117</v>
      </c>
      <c r="B34" s="177">
        <v>615</v>
      </c>
      <c r="C34" s="177" t="s">
        <v>100</v>
      </c>
      <c r="D34" s="177" t="s">
        <v>19</v>
      </c>
      <c r="E34" s="177" t="s">
        <v>27</v>
      </c>
      <c r="F34" s="233">
        <v>540922</v>
      </c>
      <c r="G34" s="233">
        <v>35992.379999999997</v>
      </c>
      <c r="H34" s="234">
        <v>28322</v>
      </c>
      <c r="I34" s="235">
        <v>5410.08</v>
      </c>
      <c r="J34" s="185">
        <f>F34-G34</f>
        <v>504929.62</v>
      </c>
      <c r="K34" s="180">
        <f>J34/H34</f>
        <v>17.828176682437682</v>
      </c>
      <c r="L34" s="189">
        <f>+IF(E34="Weekdays",K34/$G$98,IF(E34="Saturdays",K34/$G$99,IF(E34="Sundays",K34/$G$100, "NA")))</f>
        <v>0.48122381709759943</v>
      </c>
      <c r="M34" s="189">
        <f>G34/F34</f>
        <v>6.6538946465479309E-2</v>
      </c>
      <c r="N34" s="181">
        <f>+IF(E34="Weekdays",M34/$G$104,IF(E34="Saturdays",M34/$G$105,IF(E34="Sundays",M34/$G$106,"NA")))</f>
        <v>0.98973119871505721</v>
      </c>
      <c r="O34" s="182">
        <f>H34/I34</f>
        <v>5.2350427350427351</v>
      </c>
      <c r="P34" s="183"/>
    </row>
    <row r="35" spans="1:16" x14ac:dyDescent="0.25">
      <c r="A35" s="174" t="s">
        <v>117</v>
      </c>
      <c r="B35" s="177">
        <v>645</v>
      </c>
      <c r="C35" s="177" t="s">
        <v>100</v>
      </c>
      <c r="D35" s="177" t="s">
        <v>19</v>
      </c>
      <c r="E35" s="177" t="s">
        <v>27</v>
      </c>
      <c r="F35" s="185">
        <v>3589489.56</v>
      </c>
      <c r="G35" s="185">
        <v>210961.38</v>
      </c>
      <c r="H35" s="228">
        <v>156933.76000000001</v>
      </c>
      <c r="I35" s="228">
        <v>11963.56</v>
      </c>
      <c r="J35" s="185">
        <f>F35-G35</f>
        <v>3378528.18</v>
      </c>
      <c r="K35" s="180">
        <f>J35/H35</f>
        <v>21.528370823460804</v>
      </c>
      <c r="L35" s="189">
        <f>+IF(E35="Weekdays",K35/$G$98,IF(E35="Saturdays",K35/$G$99,IF(E35="Sundays",K35/$G$100, "NA")))</f>
        <v>0.58110063457941119</v>
      </c>
      <c r="M35" s="189">
        <f>G35/F35</f>
        <v>5.8771972023788255E-2</v>
      </c>
      <c r="N35" s="181">
        <f>+IF(E35="Weekdays",M35/$G$104,IF(E35="Saturdays",M35/$G$105,IF(E35="Sundays",M35/$G$106,"NA")))</f>
        <v>0.87420161291747833</v>
      </c>
      <c r="O35" s="182">
        <f>H35/I35</f>
        <v>13.1176472554992</v>
      </c>
      <c r="P35" s="183"/>
    </row>
    <row r="36" spans="1:16" x14ac:dyDescent="0.25">
      <c r="A36" s="174" t="s">
        <v>117</v>
      </c>
      <c r="B36" s="177">
        <v>705</v>
      </c>
      <c r="C36" s="177" t="s">
        <v>100</v>
      </c>
      <c r="D36" s="177" t="s">
        <v>19</v>
      </c>
      <c r="E36" s="177" t="s">
        <v>27</v>
      </c>
      <c r="F36" s="233">
        <v>852095</v>
      </c>
      <c r="G36" s="233">
        <v>38988.5</v>
      </c>
      <c r="H36" s="234">
        <v>39686</v>
      </c>
      <c r="I36" s="235">
        <v>5745.6</v>
      </c>
      <c r="J36" s="185">
        <f>F36-G36</f>
        <v>813106.5</v>
      </c>
      <c r="K36" s="180">
        <f>J36/H36</f>
        <v>20.488497203043895</v>
      </c>
      <c r="L36" s="189">
        <f>+IF(E36="Weekdays",K36/$G$98,IF(E36="Saturdays",K36/$G$99,IF(E36="Sundays",K36/$G$100, "NA")))</f>
        <v>0.55303203497836084</v>
      </c>
      <c r="M36" s="189">
        <f>G36/F36</f>
        <v>4.5756048327944651E-2</v>
      </c>
      <c r="N36" s="181">
        <f>+IF(E36="Weekdays",M36/$G$104,IF(E36="Saturdays",M36/$G$105,IF(E36="Sundays",M36/$G$106,"NA")))</f>
        <v>0.68059671764679075</v>
      </c>
      <c r="O36" s="182">
        <f>H36/I36</f>
        <v>6.9071985519353936</v>
      </c>
      <c r="P36" s="183"/>
    </row>
    <row r="37" spans="1:16" x14ac:dyDescent="0.25">
      <c r="A37" s="174" t="s">
        <v>117</v>
      </c>
      <c r="B37" s="177">
        <v>716</v>
      </c>
      <c r="C37" s="177" t="s">
        <v>100</v>
      </c>
      <c r="D37" s="177" t="s">
        <v>19</v>
      </c>
      <c r="E37" s="177" t="s">
        <v>27</v>
      </c>
      <c r="F37" s="233">
        <v>330091</v>
      </c>
      <c r="G37" s="233">
        <v>33191.9</v>
      </c>
      <c r="H37" s="234">
        <v>29962</v>
      </c>
      <c r="I37" s="235">
        <v>2981.43</v>
      </c>
      <c r="J37" s="185">
        <f>F37-G37</f>
        <v>296899.09999999998</v>
      </c>
      <c r="K37" s="180">
        <f>J37/H37</f>
        <v>9.9091883051865697</v>
      </c>
      <c r="L37" s="189">
        <f>+IF(E37="Weekdays",K37/$G$98,IF(E37="Saturdays",K37/$G$99,IF(E37="Sundays",K37/$G$100, "NA")))</f>
        <v>0.26747196337010731</v>
      </c>
      <c r="M37" s="189">
        <f>G37/F37</f>
        <v>0.10055378668306619</v>
      </c>
      <c r="N37" s="181">
        <f>+IF(E37="Weekdays",M37/$G$104,IF(E37="Saturdays",M37/$G$105,IF(E37="Sundays",M37/$G$106,"NA")))</f>
        <v>1.4956837328466164</v>
      </c>
      <c r="O37" s="182">
        <f>H37/I37</f>
        <v>10.049539985845719</v>
      </c>
      <c r="P37" s="183"/>
    </row>
    <row r="38" spans="1:16" x14ac:dyDescent="0.25">
      <c r="A38" s="174" t="s">
        <v>117</v>
      </c>
      <c r="B38" s="176">
        <v>717</v>
      </c>
      <c r="C38" s="176" t="s">
        <v>100</v>
      </c>
      <c r="D38" s="177" t="s">
        <v>19</v>
      </c>
      <c r="E38" s="176" t="s">
        <v>27</v>
      </c>
      <c r="F38" s="185">
        <v>355630</v>
      </c>
      <c r="G38" s="185">
        <v>41043.67</v>
      </c>
      <c r="H38" s="186">
        <v>40519</v>
      </c>
      <c r="I38" s="187">
        <v>3452.4</v>
      </c>
      <c r="J38" s="185">
        <f>F38-G38</f>
        <v>314586.33</v>
      </c>
      <c r="K38" s="180">
        <f>J38/H38</f>
        <v>7.7639213702213778</v>
      </c>
      <c r="L38" s="189">
        <f>+IF(E38="Weekdays",K38/$G$98,IF(E38="Saturdays",K38/$G$99,IF(E38="Sundays",K38/$G$100, "NA")))</f>
        <v>0.20956623573873512</v>
      </c>
      <c r="M38" s="189">
        <f>G38/F38</f>
        <v>0.11541115766386412</v>
      </c>
      <c r="N38" s="181">
        <f>+IF(E38="Weekdays",M38/$G$104,IF(E38="Saturdays",M38/$G$105,IF(E38="Sundays",M38/$G$106,"NA")))</f>
        <v>1.7166791704315554</v>
      </c>
      <c r="O38" s="182">
        <f>H38/I38</f>
        <v>11.736473178079017</v>
      </c>
      <c r="P38" s="307"/>
    </row>
    <row r="39" spans="1:16" x14ac:dyDescent="0.25">
      <c r="A39" s="174" t="s">
        <v>117</v>
      </c>
      <c r="B39" s="177">
        <v>721</v>
      </c>
      <c r="C39" s="177" t="s">
        <v>100</v>
      </c>
      <c r="D39" s="177" t="s">
        <v>19</v>
      </c>
      <c r="E39" s="177" t="s">
        <v>27</v>
      </c>
      <c r="F39" s="233">
        <v>1883470.5</v>
      </c>
      <c r="G39" s="233">
        <v>92075.520000000004</v>
      </c>
      <c r="H39" s="234">
        <v>108256.03</v>
      </c>
      <c r="I39" s="235">
        <v>5899.8</v>
      </c>
      <c r="J39" s="185">
        <f>F39-G39</f>
        <v>1791394.98</v>
      </c>
      <c r="K39" s="180">
        <f>J39/H39</f>
        <v>16.547761635079357</v>
      </c>
      <c r="L39" s="189">
        <f>+IF(E39="Weekdays",K39/$G$98,IF(E39="Saturdays",K39/$G$99,IF(E39="Sundays",K39/$G$100, "NA")))</f>
        <v>0.4466624467716056</v>
      </c>
      <c r="M39" s="189">
        <f>G39/F39</f>
        <v>4.8886096171933673E-2</v>
      </c>
      <c r="N39" s="181">
        <f>+IF(E39="Weekdays",M39/$G$104,IF(E39="Saturdays",M39/$G$105,IF(E39="Sundays",M39/$G$106,"NA")))</f>
        <v>0.72715450326297792</v>
      </c>
      <c r="O39" s="182">
        <f>H39/I39</f>
        <v>18.349101664463202</v>
      </c>
      <c r="P39" s="183"/>
    </row>
    <row r="40" spans="1:16" x14ac:dyDescent="0.25">
      <c r="A40" s="174" t="s">
        <v>117</v>
      </c>
      <c r="B40" s="177">
        <v>722</v>
      </c>
      <c r="C40" s="177" t="s">
        <v>100</v>
      </c>
      <c r="D40" s="177" t="s">
        <v>19</v>
      </c>
      <c r="E40" s="177" t="s">
        <v>27</v>
      </c>
      <c r="F40" s="233">
        <v>1942224.19</v>
      </c>
      <c r="G40" s="233">
        <v>105750.83</v>
      </c>
      <c r="H40" s="234">
        <v>126031.57</v>
      </c>
      <c r="I40" s="235">
        <v>5996.8</v>
      </c>
      <c r="J40" s="185">
        <f>F40-G40</f>
        <v>1836473.3599999999</v>
      </c>
      <c r="K40" s="180">
        <f>J40/H40</f>
        <v>14.571534417924015</v>
      </c>
      <c r="L40" s="189">
        <f>+IF(E40="Weekdays",K40/$G$98,IF(E40="Saturdays",K40/$G$99,IF(E40="Sundays",K40/$G$100, "NA")))</f>
        <v>0.39331949298382507</v>
      </c>
      <c r="M40" s="189">
        <f>G40/F40</f>
        <v>5.4448312684232406E-2</v>
      </c>
      <c r="N40" s="181">
        <f>+IF(E40="Weekdays",M40/$G$104,IF(E40="Saturdays",M40/$G$105,IF(E40="Sundays",M40/$G$106,"NA")))</f>
        <v>0.8098894954541479</v>
      </c>
      <c r="O40" s="182">
        <f>H40/I40</f>
        <v>21.01647045090715</v>
      </c>
      <c r="P40" s="183"/>
    </row>
    <row r="41" spans="1:16" x14ac:dyDescent="0.25">
      <c r="A41" s="174" t="s">
        <v>117</v>
      </c>
      <c r="B41" s="177">
        <v>723</v>
      </c>
      <c r="C41" s="177" t="s">
        <v>100</v>
      </c>
      <c r="D41" s="177" t="s">
        <v>19</v>
      </c>
      <c r="E41" s="177" t="s">
        <v>27</v>
      </c>
      <c r="F41" s="233">
        <v>1964153.47</v>
      </c>
      <c r="G41" s="233">
        <v>78314.58</v>
      </c>
      <c r="H41" s="234">
        <v>89656.320000000007</v>
      </c>
      <c r="I41" s="235">
        <v>5726.68</v>
      </c>
      <c r="J41" s="185">
        <f>F41-G41</f>
        <v>1885838.89</v>
      </c>
      <c r="K41" s="180">
        <f>J41/H41</f>
        <v>21.03408761367854</v>
      </c>
      <c r="L41" s="189">
        <f>+IF(E41="Weekdays",K41/$G$98,IF(E41="Saturdays",K41/$G$99,IF(E41="Sundays",K41/$G$100, "NA")))</f>
        <v>0.56775878492335585</v>
      </c>
      <c r="M41" s="189">
        <f>G41/F41</f>
        <v>3.9871925079255646E-2</v>
      </c>
      <c r="N41" s="181">
        <f>+IF(E41="Weekdays",M41/$G$104,IF(E41="Saturdays",M41/$G$105,IF(E41="Sundays",M41/$G$106,"NA")))</f>
        <v>0.59307353512490546</v>
      </c>
      <c r="O41" s="182">
        <f>H41/I41</f>
        <v>15.655898356464828</v>
      </c>
      <c r="P41" s="183"/>
    </row>
    <row r="42" spans="1:16" x14ac:dyDescent="0.25">
      <c r="A42" s="174" t="s">
        <v>117</v>
      </c>
      <c r="B42" s="177">
        <v>724</v>
      </c>
      <c r="C42" s="177" t="s">
        <v>100</v>
      </c>
      <c r="D42" s="177" t="s">
        <v>19</v>
      </c>
      <c r="E42" s="177" t="s">
        <v>27</v>
      </c>
      <c r="F42" s="233">
        <v>4714122.87</v>
      </c>
      <c r="G42" s="233">
        <v>228396.33</v>
      </c>
      <c r="H42" s="234">
        <v>276874.15000000002</v>
      </c>
      <c r="I42" s="235">
        <v>13215.72</v>
      </c>
      <c r="J42" s="185">
        <f>F42-G42</f>
        <v>4485726.54</v>
      </c>
      <c r="K42" s="180">
        <f>J42/H42</f>
        <v>16.201319408113758</v>
      </c>
      <c r="L42" s="189">
        <f>+IF(E42="Weekdays",K42/$G$98,IF(E42="Saturdays",K42/$G$99,IF(E42="Sundays",K42/$G$100, "NA")))</f>
        <v>0.43731116795976788</v>
      </c>
      <c r="M42" s="189">
        <f>G42/F42</f>
        <v>4.844937993735407E-2</v>
      </c>
      <c r="N42" s="181">
        <f>+IF(E42="Weekdays",M42/$G$104,IF(E42="Saturdays",M42/$G$105,IF(E42="Sundays",M42/$G$106,"NA")))</f>
        <v>0.72065858312434083</v>
      </c>
      <c r="O42" s="182">
        <f>H42/I42</f>
        <v>20.95036441450031</v>
      </c>
      <c r="P42" s="183"/>
    </row>
    <row r="43" spans="1:16" x14ac:dyDescent="0.25">
      <c r="A43" s="174" t="s">
        <v>117</v>
      </c>
      <c r="B43" s="177">
        <v>801</v>
      </c>
      <c r="C43" s="177" t="s">
        <v>100</v>
      </c>
      <c r="D43" s="177" t="s">
        <v>19</v>
      </c>
      <c r="E43" s="177" t="s">
        <v>27</v>
      </c>
      <c r="F43" s="185">
        <v>560094</v>
      </c>
      <c r="G43" s="185">
        <v>73826.009999999995</v>
      </c>
      <c r="H43" s="228">
        <v>60982</v>
      </c>
      <c r="I43" s="228">
        <v>5223.96</v>
      </c>
      <c r="J43" s="185">
        <f>F43-G43</f>
        <v>486267.99</v>
      </c>
      <c r="K43" s="180">
        <f>J43/H43</f>
        <v>7.9739593650585414</v>
      </c>
      <c r="L43" s="189">
        <f>+IF(E43="Weekdays",K43/$G$98,IF(E43="Saturdays",K43/$G$99,IF(E43="Sundays",K43/$G$100, "NA")))</f>
        <v>0.21523564811956675</v>
      </c>
      <c r="M43" s="189">
        <f>G43/F43</f>
        <v>0.13181003545833378</v>
      </c>
      <c r="N43" s="181">
        <f>+IF(E43="Weekdays",M43/$G$104,IF(E43="Saturdays",M43/$G$105,IF(E43="Sundays",M43/$G$106,"NA")))</f>
        <v>1.9606036964311162</v>
      </c>
      <c r="O43" s="182">
        <f>H43/I43</f>
        <v>11.673519705357622</v>
      </c>
      <c r="P43" s="183"/>
    </row>
    <row r="44" spans="1:16" x14ac:dyDescent="0.25">
      <c r="A44" s="174" t="s">
        <v>117</v>
      </c>
      <c r="B44" s="177">
        <v>804</v>
      </c>
      <c r="C44" s="177" t="s">
        <v>100</v>
      </c>
      <c r="D44" s="177" t="s">
        <v>19</v>
      </c>
      <c r="E44" s="177" t="s">
        <v>27</v>
      </c>
      <c r="F44" s="185">
        <v>695470</v>
      </c>
      <c r="G44" s="185">
        <v>42316.14</v>
      </c>
      <c r="H44" s="228">
        <v>32224</v>
      </c>
      <c r="I44" s="228">
        <v>6616.4</v>
      </c>
      <c r="J44" s="185">
        <f>F44-G44</f>
        <v>653153.86</v>
      </c>
      <c r="K44" s="180">
        <f>J44/H44</f>
        <v>20.269173907646476</v>
      </c>
      <c r="L44" s="189">
        <f>+IF(E44="Weekdays",K44/$G$98,IF(E44="Saturdays",K44/$G$99,IF(E44="Sundays",K44/$G$100, "NA")))</f>
        <v>0.54711199081066197</v>
      </c>
      <c r="M44" s="189">
        <f>G44/F44</f>
        <v>6.0845385135232286E-2</v>
      </c>
      <c r="N44" s="181">
        <f>+IF(E44="Weekdays",M44/$G$104,IF(E44="Saturdays",M44/$G$105,IF(E44="Sundays",M44/$G$106,"NA")))</f>
        <v>0.90504252268880558</v>
      </c>
      <c r="O44" s="182">
        <f>H44/I44</f>
        <v>4.8703222296112694</v>
      </c>
      <c r="P44" s="183"/>
    </row>
    <row r="45" spans="1:16" x14ac:dyDescent="0.25">
      <c r="A45" s="174" t="s">
        <v>117</v>
      </c>
      <c r="B45" s="341">
        <v>805</v>
      </c>
      <c r="C45" s="341" t="s">
        <v>100</v>
      </c>
      <c r="D45" s="341" t="s">
        <v>19</v>
      </c>
      <c r="E45" s="341" t="s">
        <v>27</v>
      </c>
      <c r="F45" s="343">
        <v>542658</v>
      </c>
      <c r="G45" s="346">
        <v>51062.68</v>
      </c>
      <c r="H45" s="228">
        <v>41452</v>
      </c>
      <c r="I45" s="228">
        <v>5549.04</v>
      </c>
      <c r="J45" s="343">
        <f>F45-G45</f>
        <v>491595.32</v>
      </c>
      <c r="K45" s="346">
        <f>J45/H45</f>
        <v>11.859387243076329</v>
      </c>
      <c r="L45" s="189">
        <f>+IF(E45="Weekdays",K45/$G$98,IF(E45="Saturdays",K45/$G$99,IF(E45="Sundays",K45/$G$100, "NA")))</f>
        <v>0.32011235356298001</v>
      </c>
      <c r="M45" s="189">
        <f>G45/F45</f>
        <v>9.4097350449085793E-2</v>
      </c>
      <c r="N45" s="181">
        <f>+IF(E45="Weekdays",M45/$G$104,IF(E45="Saturdays",M45/$G$105,IF(E45="Sundays",M45/$G$106,"NA")))</f>
        <v>1.39964770112796</v>
      </c>
      <c r="O45" s="349">
        <f>H45/I45</f>
        <v>7.4701209578593772</v>
      </c>
      <c r="P45" s="183"/>
    </row>
    <row r="46" spans="1:16" x14ac:dyDescent="0.25">
      <c r="A46" s="174" t="s">
        <v>117</v>
      </c>
      <c r="B46" s="176">
        <v>323</v>
      </c>
      <c r="C46" s="176" t="s">
        <v>100</v>
      </c>
      <c r="D46" s="177" t="s">
        <v>19</v>
      </c>
      <c r="E46" s="176" t="s">
        <v>60</v>
      </c>
      <c r="F46" s="185">
        <v>155989</v>
      </c>
      <c r="G46" s="185">
        <v>4967.96</v>
      </c>
      <c r="H46" s="186">
        <v>4100</v>
      </c>
      <c r="I46" s="187">
        <v>1248.74</v>
      </c>
      <c r="J46" s="185">
        <f>F46-G46</f>
        <v>151021.04</v>
      </c>
      <c r="K46" s="180">
        <f>J46/H46</f>
        <v>36.834400000000002</v>
      </c>
      <c r="L46" s="189">
        <f>+IF(E46="Weekdays",K46/$G$98,IF(E46="Saturdays",K46/$G$99,IF(E46="Sundays",K46/$G$100, "NA")))</f>
        <v>0.93336865450284667</v>
      </c>
      <c r="M46" s="189">
        <f>G46/F46</f>
        <v>3.1848143138298216E-2</v>
      </c>
      <c r="N46" s="181">
        <f>+IF(E46="Weekdays",M46/$G$104,IF(E46="Saturdays",M46/$G$105,IF(E46="Sundays",M46/$G$106,"NA")))</f>
        <v>0.68192439817428563</v>
      </c>
      <c r="O46" s="182">
        <f>H46/I46</f>
        <v>3.2833095760526612</v>
      </c>
      <c r="P46" s="183"/>
    </row>
    <row r="47" spans="1:16" x14ac:dyDescent="0.25">
      <c r="A47" s="174" t="s">
        <v>8</v>
      </c>
      <c r="B47" s="177">
        <v>410</v>
      </c>
      <c r="C47" s="177" t="s">
        <v>103</v>
      </c>
      <c r="D47" s="177" t="s">
        <v>19</v>
      </c>
      <c r="E47" s="177" t="s">
        <v>60</v>
      </c>
      <c r="F47" s="185">
        <v>214733.32</v>
      </c>
      <c r="G47" s="180">
        <v>6871.76</v>
      </c>
      <c r="H47" s="228">
        <v>3123</v>
      </c>
      <c r="I47" s="228">
        <v>1077.56</v>
      </c>
      <c r="J47" s="185">
        <f>F47-G47</f>
        <v>207861.56</v>
      </c>
      <c r="K47" s="180">
        <f>J47/H47</f>
        <v>66.558296509766251</v>
      </c>
      <c r="L47" s="189">
        <f>+IF(E47="Weekdays",K47/$G$98,IF(E47="Saturdays",K47/$G$99,IF(E47="Sundays",K47/$G$100, "NA")))</f>
        <v>1.6865600541700703</v>
      </c>
      <c r="M47" s="189">
        <f>G47/F47</f>
        <v>3.2001368022438248E-2</v>
      </c>
      <c r="N47" s="181">
        <f>+IF(E47="Weekdays",M47/$G$104,IF(E47="Saturdays",M47/$G$105,IF(E47="Sundays",M47/$G$106,"NA")))</f>
        <v>0.6852052106991724</v>
      </c>
      <c r="O47" s="182">
        <f>H47/I47</f>
        <v>2.8982144845762652</v>
      </c>
      <c r="P47" s="193" t="s">
        <v>111</v>
      </c>
    </row>
    <row r="48" spans="1:16" x14ac:dyDescent="0.25">
      <c r="A48" s="174" t="s">
        <v>8</v>
      </c>
      <c r="B48" s="176">
        <v>442</v>
      </c>
      <c r="C48" s="176" t="s">
        <v>100</v>
      </c>
      <c r="D48" s="177" t="s">
        <v>19</v>
      </c>
      <c r="E48" s="176" t="s">
        <v>60</v>
      </c>
      <c r="F48" s="185">
        <v>260650.42</v>
      </c>
      <c r="G48" s="180">
        <v>9701.44</v>
      </c>
      <c r="H48" s="186">
        <v>4409</v>
      </c>
      <c r="I48" s="187">
        <v>1275.1199999999999</v>
      </c>
      <c r="J48" s="185">
        <f>F48-G48</f>
        <v>250948.98</v>
      </c>
      <c r="K48" s="180">
        <f>J48/H48</f>
        <v>56.917437060557951</v>
      </c>
      <c r="L48" s="189">
        <f>+IF(E48="Weekdays",K48/$G$98,IF(E48="Saturdays",K48/$G$99,IF(E48="Sundays",K48/$G$100, "NA")))</f>
        <v>1.4422646126165604</v>
      </c>
      <c r="M48" s="189">
        <f>G48/F48</f>
        <v>3.7220120343562077E-2</v>
      </c>
      <c r="N48" s="181">
        <f>+IF(E48="Weekdays",M48/$G$104,IF(E48="Saturdays",M48/$G$105,IF(E48="Sundays",M48/$G$106,"NA")))</f>
        <v>0.79694781749258015</v>
      </c>
      <c r="O48" s="182">
        <f>H48/I48</f>
        <v>3.4577137838007408</v>
      </c>
      <c r="P48" s="307"/>
    </row>
    <row r="49" spans="1:16" x14ac:dyDescent="0.25">
      <c r="A49" s="174" t="s">
        <v>8</v>
      </c>
      <c r="B49" s="177">
        <v>444</v>
      </c>
      <c r="C49" s="177" t="s">
        <v>100</v>
      </c>
      <c r="D49" s="177" t="s">
        <v>19</v>
      </c>
      <c r="E49" s="177" t="s">
        <v>60</v>
      </c>
      <c r="F49" s="185">
        <v>611471.85</v>
      </c>
      <c r="G49" s="180">
        <v>41353.79</v>
      </c>
      <c r="H49" s="228">
        <v>18794</v>
      </c>
      <c r="I49" s="228">
        <v>2630.88</v>
      </c>
      <c r="J49" s="185">
        <f>F49-G49</f>
        <v>570118.05999999994</v>
      </c>
      <c r="K49" s="180">
        <f>J49/H49</f>
        <v>30.335110141534528</v>
      </c>
      <c r="L49" s="189">
        <f>+IF(E49="Weekdays",K49/$G$98,IF(E49="Saturdays",K49/$G$99,IF(E49="Sundays",K49/$G$100, "NA")))</f>
        <v>0.76867930350432589</v>
      </c>
      <c r="M49" s="189">
        <f>G49/F49</f>
        <v>6.7629916242260377E-2</v>
      </c>
      <c r="N49" s="181">
        <f>+IF(E49="Weekdays",M49/$G$104,IF(E49="Saturdays",M49/$G$105,IF(E49="Sundays",M49/$G$106,"NA")))</f>
        <v>1.4480746878025073</v>
      </c>
      <c r="O49" s="182">
        <f>H49/I49</f>
        <v>7.1436173447667697</v>
      </c>
      <c r="P49" s="183"/>
    </row>
    <row r="50" spans="1:16" x14ac:dyDescent="0.25">
      <c r="A50" s="174" t="s">
        <v>8</v>
      </c>
      <c r="B50" s="176">
        <v>445</v>
      </c>
      <c r="C50" s="176" t="s">
        <v>100</v>
      </c>
      <c r="D50" s="177" t="s">
        <v>19</v>
      </c>
      <c r="E50" s="176" t="s">
        <v>60</v>
      </c>
      <c r="F50" s="185">
        <v>174408.74</v>
      </c>
      <c r="G50" s="180">
        <v>8002.75</v>
      </c>
      <c r="H50" s="186">
        <v>3637</v>
      </c>
      <c r="I50" s="187">
        <v>750.4</v>
      </c>
      <c r="J50" s="185">
        <f>F50-G50</f>
        <v>166405.99</v>
      </c>
      <c r="K50" s="180">
        <f>J50/H50</f>
        <v>45.753640362936487</v>
      </c>
      <c r="L50" s="189">
        <f>+IF(E50="Weekdays",K50/$G$98,IF(E50="Saturdays",K50/$G$99,IF(E50="Sundays",K50/$G$100, "NA")))</f>
        <v>1.1593785630867115</v>
      </c>
      <c r="M50" s="189">
        <f>G50/F50</f>
        <v>4.5885028468183417E-2</v>
      </c>
      <c r="N50" s="181">
        <f>+IF(E50="Weekdays",M50/$G$104,IF(E50="Saturdays",M50/$G$105,IF(E50="Sundays",M50/$G$106,"NA")))</f>
        <v>0.98247864208286484</v>
      </c>
      <c r="O50" s="182">
        <f>H50/I50</f>
        <v>4.8467484008528787</v>
      </c>
      <c r="P50" s="307"/>
    </row>
    <row r="51" spans="1:16" x14ac:dyDescent="0.25">
      <c r="A51" s="174" t="s">
        <v>8</v>
      </c>
      <c r="B51" s="176">
        <v>446</v>
      </c>
      <c r="C51" s="176" t="s">
        <v>100</v>
      </c>
      <c r="D51" s="177" t="s">
        <v>19</v>
      </c>
      <c r="E51" s="176" t="s">
        <v>60</v>
      </c>
      <c r="F51" s="185">
        <v>155145.69</v>
      </c>
      <c r="G51" s="180">
        <v>6913.57</v>
      </c>
      <c r="H51" s="186">
        <v>3142</v>
      </c>
      <c r="I51" s="187">
        <v>667.52</v>
      </c>
      <c r="J51" s="185">
        <f>F51-G51</f>
        <v>148232.12</v>
      </c>
      <c r="K51" s="180">
        <f>J51/H51</f>
        <v>47.177632081476766</v>
      </c>
      <c r="L51" s="189">
        <f>+IF(E51="Weekdays",K51/$G$98,IF(E51="Saturdays",K51/$G$99,IF(E51="Sundays",K51/$G$100, "NA")))</f>
        <v>1.1954619317409352</v>
      </c>
      <c r="M51" s="189">
        <f>G51/F51</f>
        <v>4.456179220963212E-2</v>
      </c>
      <c r="N51" s="181">
        <f>+IF(E51="Weekdays",M51/$G$104,IF(E51="Saturdays",M51/$G$105,IF(E51="Sundays",M51/$G$106,"NA")))</f>
        <v>0.95414584147541304</v>
      </c>
      <c r="O51" s="182">
        <f>H51/I51</f>
        <v>4.7069750719079577</v>
      </c>
      <c r="P51" s="307"/>
    </row>
    <row r="52" spans="1:16" x14ac:dyDescent="0.25">
      <c r="A52" s="174" t="s">
        <v>8</v>
      </c>
      <c r="B52" s="177">
        <v>447</v>
      </c>
      <c r="C52" s="177" t="s">
        <v>100</v>
      </c>
      <c r="D52" s="177" t="s">
        <v>19</v>
      </c>
      <c r="E52" s="177" t="s">
        <v>60</v>
      </c>
      <c r="F52" s="185">
        <v>164581.98000000001</v>
      </c>
      <c r="G52" s="180">
        <v>3580.01</v>
      </c>
      <c r="H52" s="228">
        <v>1627</v>
      </c>
      <c r="I52" s="228">
        <v>708.12</v>
      </c>
      <c r="J52" s="185">
        <f>F52-G52</f>
        <v>161001.97</v>
      </c>
      <c r="K52" s="180">
        <f>J52/H52</f>
        <v>98.956342962507676</v>
      </c>
      <c r="L52" s="189">
        <f>+IF(E52="Weekdays",K52/$G$98,IF(E52="Saturdays",K52/$G$99,IF(E52="Sundays",K52/$G$100, "NA")))</f>
        <v>2.5075133213908201</v>
      </c>
      <c r="M52" s="189">
        <f>G52/F52</f>
        <v>2.1752138356823755E-2</v>
      </c>
      <c r="N52" s="181">
        <f>+IF(E52="Weekdays",M52/$G$104,IF(E52="Saturdays",M52/$G$105,IF(E52="Sundays",M52/$G$106,"NA")))</f>
        <v>0.46575129336640636</v>
      </c>
      <c r="O52" s="182">
        <f>H52/I52</f>
        <v>2.2976331695192904</v>
      </c>
      <c r="P52" s="183"/>
    </row>
    <row r="53" spans="1:16" x14ac:dyDescent="0.25">
      <c r="A53" s="174" t="s">
        <v>8</v>
      </c>
      <c r="B53" s="177">
        <v>495</v>
      </c>
      <c r="C53" s="177" t="s">
        <v>100</v>
      </c>
      <c r="D53" s="177" t="s">
        <v>80</v>
      </c>
      <c r="E53" s="177" t="s">
        <v>60</v>
      </c>
      <c r="F53" s="233">
        <v>455212.86</v>
      </c>
      <c r="G53" s="236">
        <v>22331.58</v>
      </c>
      <c r="H53" s="234">
        <v>10149</v>
      </c>
      <c r="I53" s="235">
        <v>1958.57</v>
      </c>
      <c r="J53" s="185">
        <f>F53-G53</f>
        <v>432881.27999999997</v>
      </c>
      <c r="K53" s="180">
        <f>J53/H53</f>
        <v>42.652604197457876</v>
      </c>
      <c r="L53" s="189">
        <f>+IF(E53="Weekdays",K53/$G$98,IF(E53="Saturdays",K53/$G$99,IF(E53="Sundays",K53/$G$100, "NA")))</f>
        <v>1.0807995729759063</v>
      </c>
      <c r="M53" s="189">
        <f>G53/F53</f>
        <v>4.9057445345458833E-2</v>
      </c>
      <c r="N53" s="181">
        <f>+IF(E53="Weekdays",M53/$G$104,IF(E53="Saturdays",M53/$G$105,IF(E53="Sundays",M53/$G$106,"NA")))</f>
        <v>1.0504056311195507</v>
      </c>
      <c r="O53" s="182">
        <f>H53/I53</f>
        <v>5.1818418540057287</v>
      </c>
      <c r="P53" s="183"/>
    </row>
    <row r="54" spans="1:16" x14ac:dyDescent="0.25">
      <c r="A54" s="174" t="s">
        <v>8</v>
      </c>
      <c r="B54" s="177">
        <v>497</v>
      </c>
      <c r="C54" s="177" t="s">
        <v>100</v>
      </c>
      <c r="D54" s="177" t="s">
        <v>19</v>
      </c>
      <c r="E54" s="177" t="s">
        <v>60</v>
      </c>
      <c r="F54" s="233">
        <v>64896.13</v>
      </c>
      <c r="G54" s="236">
        <v>1733.89</v>
      </c>
      <c r="H54" s="234">
        <v>788</v>
      </c>
      <c r="I54" s="235">
        <v>432.88</v>
      </c>
      <c r="J54" s="185">
        <f>F54-G54</f>
        <v>63162.239999999998</v>
      </c>
      <c r="K54" s="180">
        <f>J54/H54</f>
        <v>80.155126903553295</v>
      </c>
      <c r="L54" s="189">
        <f>+IF(E54="Weekdays",K54/$G$98,IF(E54="Saturdays",K54/$G$99,IF(E54="Sundays",K54/$G$100, "NA")))</f>
        <v>2.0310981840202218</v>
      </c>
      <c r="M54" s="189">
        <f>G54/F54</f>
        <v>2.6717926015002745E-2</v>
      </c>
      <c r="N54" s="181">
        <f>+IF(E54="Weekdays",M54/$G$104,IF(E54="Saturdays",M54/$G$105,IF(E54="Sundays",M54/$G$106,"NA")))</f>
        <v>0.57207748467873121</v>
      </c>
      <c r="O54" s="182">
        <f>H54/I54</f>
        <v>1.820365921271484</v>
      </c>
      <c r="P54" s="183"/>
    </row>
    <row r="55" spans="1:16" x14ac:dyDescent="0.25">
      <c r="A55" s="174" t="s">
        <v>8</v>
      </c>
      <c r="B55" s="177">
        <v>499</v>
      </c>
      <c r="C55" s="177" t="s">
        <v>100</v>
      </c>
      <c r="D55" s="177" t="s">
        <v>19</v>
      </c>
      <c r="E55" s="177" t="s">
        <v>60</v>
      </c>
      <c r="F55" s="185">
        <v>77288.820000000007</v>
      </c>
      <c r="G55" s="180">
        <v>1511.66</v>
      </c>
      <c r="H55" s="228">
        <v>687</v>
      </c>
      <c r="I55" s="228">
        <v>486.2</v>
      </c>
      <c r="J55" s="185">
        <f>F55-G55</f>
        <v>75777.16</v>
      </c>
      <c r="K55" s="180">
        <f>J55/H55</f>
        <v>110.30154294032023</v>
      </c>
      <c r="L55" s="189">
        <f>+IF(E55="Weekdays",K55/$G$98,IF(E55="Saturdays",K55/$G$99,IF(E55="Sundays",K55/$G$100, "NA")))</f>
        <v>2.7949960559638449</v>
      </c>
      <c r="M55" s="189">
        <f>G55/F55</f>
        <v>1.9558585575507558E-2</v>
      </c>
      <c r="N55" s="181">
        <f>+IF(E55="Weekdays",M55/$G$104,IF(E55="Saturdays",M55/$G$105,IF(E55="Sundays",M55/$G$106,"NA")))</f>
        <v>0.41878349515704089</v>
      </c>
      <c r="O55" s="182">
        <f>H55/I55</f>
        <v>1.4129987659399423</v>
      </c>
      <c r="P55" s="183"/>
    </row>
    <row r="56" spans="1:16" x14ac:dyDescent="0.25">
      <c r="A56" s="174" t="s">
        <v>117</v>
      </c>
      <c r="B56" s="177">
        <v>515</v>
      </c>
      <c r="C56" s="177" t="s">
        <v>100</v>
      </c>
      <c r="D56" s="177" t="s">
        <v>19</v>
      </c>
      <c r="E56" s="177" t="s">
        <v>60</v>
      </c>
      <c r="F56" s="233">
        <v>593157.68999999994</v>
      </c>
      <c r="G56" s="233">
        <v>32364.12</v>
      </c>
      <c r="H56" s="234">
        <v>38303.14</v>
      </c>
      <c r="I56" s="235">
        <v>1543.38</v>
      </c>
      <c r="J56" s="185">
        <f>F56-G56</f>
        <v>560793.56999999995</v>
      </c>
      <c r="K56" s="180">
        <f>J56/H56</f>
        <v>14.640929438160944</v>
      </c>
      <c r="L56" s="189">
        <f>+IF(E56="Weekdays",K56/$G$98,IF(E56="Saturdays",K56/$G$99,IF(E56="Sundays",K56/$G$100, "NA")))</f>
        <v>0.3709951732719251</v>
      </c>
      <c r="M56" s="189">
        <f>G56/F56</f>
        <v>5.4562421672388672E-2</v>
      </c>
      <c r="N56" s="181">
        <f>+IF(E56="Weekdays",M56/$G$104,IF(E56="Saturdays",M56/$G$105,IF(E56="Sundays",M56/$G$106,"NA")))</f>
        <v>1.1682767940443073</v>
      </c>
      <c r="O56" s="182">
        <f>H56/I56</f>
        <v>24.817698816882423</v>
      </c>
      <c r="P56" s="183"/>
    </row>
    <row r="57" spans="1:16" x14ac:dyDescent="0.25">
      <c r="A57" s="174" t="s">
        <v>117</v>
      </c>
      <c r="B57" s="176">
        <v>538</v>
      </c>
      <c r="C57" s="176" t="s">
        <v>100</v>
      </c>
      <c r="D57" s="177" t="s">
        <v>19</v>
      </c>
      <c r="E57" s="176" t="s">
        <v>60</v>
      </c>
      <c r="F57" s="185">
        <v>101995</v>
      </c>
      <c r="G57" s="185">
        <v>6853.15</v>
      </c>
      <c r="H57" s="186">
        <v>6271</v>
      </c>
      <c r="I57" s="187">
        <v>1016.16</v>
      </c>
      <c r="J57" s="185">
        <f>F57-G57</f>
        <v>95141.85</v>
      </c>
      <c r="K57" s="180">
        <f>J57/H57</f>
        <v>15.171719024079096</v>
      </c>
      <c r="L57" s="189">
        <f>+IF(E57="Weekdays",K57/$G$98,IF(E57="Saturdays",K57/$G$99,IF(E57="Sundays",K57/$G$100, "NA")))</f>
        <v>0.3844451646287152</v>
      </c>
      <c r="M57" s="189">
        <f>G57/F57</f>
        <v>6.7191038776410611E-2</v>
      </c>
      <c r="N57" s="181">
        <f>+IF(E57="Weekdays",M57/$G$104,IF(E57="Saturdays",M57/$G$105,IF(E57="Sundays",M57/$G$106,"NA")))</f>
        <v>1.4386775543347177</v>
      </c>
      <c r="O57" s="182">
        <f>H57/I57</f>
        <v>6.1712722405920326</v>
      </c>
      <c r="P57" s="183"/>
    </row>
    <row r="58" spans="1:16" x14ac:dyDescent="0.25">
      <c r="A58" s="174" t="s">
        <v>117</v>
      </c>
      <c r="B58" s="177">
        <v>539</v>
      </c>
      <c r="C58" s="177" t="s">
        <v>100</v>
      </c>
      <c r="D58" s="177" t="s">
        <v>19</v>
      </c>
      <c r="E58" s="177" t="s">
        <v>60</v>
      </c>
      <c r="F58" s="185">
        <v>61934</v>
      </c>
      <c r="G58" s="185">
        <v>6314.66</v>
      </c>
      <c r="H58" s="228">
        <v>4693</v>
      </c>
      <c r="I58" s="228">
        <v>469.8</v>
      </c>
      <c r="J58" s="185">
        <f>F58-G58</f>
        <v>55619.34</v>
      </c>
      <c r="K58" s="180">
        <f>J58/H58</f>
        <v>11.851553377370552</v>
      </c>
      <c r="L58" s="189">
        <f>+IF(E58="Weekdays",K58/$G$98,IF(E58="Saturdays",K58/$G$99,IF(E58="Sundays",K58/$G$100, "NA")))</f>
        <v>0.3003135229460781</v>
      </c>
      <c r="M58" s="189">
        <f>G58/F58</f>
        <v>0.10195789065779701</v>
      </c>
      <c r="N58" s="181">
        <f>+IF(E58="Weekdays",M58/$G$104,IF(E58="Saturdays",M58/$G$105,IF(E58="Sundays",M58/$G$106,"NA")))</f>
        <v>2.1830966070461151</v>
      </c>
      <c r="O58" s="182">
        <f>H58/I58</f>
        <v>9.9893571732652191</v>
      </c>
      <c r="P58" s="183"/>
    </row>
    <row r="59" spans="1:16" x14ac:dyDescent="0.25">
      <c r="A59" s="174" t="s">
        <v>117</v>
      </c>
      <c r="B59" s="177">
        <v>540</v>
      </c>
      <c r="C59" s="177" t="s">
        <v>100</v>
      </c>
      <c r="D59" s="177" t="s">
        <v>19</v>
      </c>
      <c r="E59" s="177" t="s">
        <v>60</v>
      </c>
      <c r="F59" s="185">
        <v>100061</v>
      </c>
      <c r="G59" s="185">
        <v>10805.39</v>
      </c>
      <c r="H59" s="228">
        <v>7975</v>
      </c>
      <c r="I59" s="228">
        <v>672.8</v>
      </c>
      <c r="J59" s="185">
        <f>F59-G59</f>
        <v>89255.61</v>
      </c>
      <c r="K59" s="180">
        <f>J59/H59</f>
        <v>11.191926018808777</v>
      </c>
      <c r="L59" s="189">
        <f>+IF(E59="Weekdays",K59/$G$98,IF(E59="Saturdays",K59/$G$99,IF(E59="Sundays",K59/$G$100, "NA")))</f>
        <v>0.2835988350419974</v>
      </c>
      <c r="M59" s="189">
        <f>G59/F59</f>
        <v>0.10798802730334496</v>
      </c>
      <c r="N59" s="181">
        <f>+IF(E59="Weekdays",M59/$G$104,IF(E59="Saturdays",M59/$G$105,IF(E59="Sundays",M59/$G$106,"NA")))</f>
        <v>2.3122123700928809</v>
      </c>
      <c r="O59" s="182">
        <f>H59/I59</f>
        <v>11.853448275862069</v>
      </c>
      <c r="P59" s="183"/>
    </row>
    <row r="60" spans="1:16" x14ac:dyDescent="0.25">
      <c r="A60" s="174" t="s">
        <v>117</v>
      </c>
      <c r="B60" s="177">
        <v>546</v>
      </c>
      <c r="C60" s="177" t="s">
        <v>100</v>
      </c>
      <c r="D60" s="177" t="s">
        <v>19</v>
      </c>
      <c r="E60" s="177" t="s">
        <v>60</v>
      </c>
      <c r="F60" s="185">
        <v>62131</v>
      </c>
      <c r="G60" s="185">
        <v>5094.72</v>
      </c>
      <c r="H60" s="228">
        <v>3103</v>
      </c>
      <c r="I60" s="228">
        <v>575.36</v>
      </c>
      <c r="J60" s="185">
        <f>F60-G60</f>
        <v>57036.28</v>
      </c>
      <c r="K60" s="180">
        <f>J60/H60</f>
        <v>18.38101192394457</v>
      </c>
      <c r="L60" s="189">
        <f>+IF(E60="Weekdays",K60/$G$98,IF(E60="Saturdays",K60/$G$99,IF(E60="Sundays",K60/$G$100, "NA")))</f>
        <v>0.46576733618174648</v>
      </c>
      <c r="M60" s="189">
        <f>G60/F60</f>
        <v>8.1999645909449387E-2</v>
      </c>
      <c r="N60" s="181">
        <f>+IF(E60="Weekdays",M60/$G$104,IF(E60="Saturdays",M60/$G$105,IF(E60="Sundays",M60/$G$106,"NA")))</f>
        <v>1.7557557106073003</v>
      </c>
      <c r="O60" s="182">
        <f>H60/I60</f>
        <v>5.3931451612903221</v>
      </c>
      <c r="P60" s="183"/>
    </row>
    <row r="61" spans="1:16" x14ac:dyDescent="0.25">
      <c r="A61" s="174" t="s">
        <v>117</v>
      </c>
      <c r="B61" s="176">
        <v>612</v>
      </c>
      <c r="C61" s="176" t="s">
        <v>100</v>
      </c>
      <c r="D61" s="177" t="s">
        <v>19</v>
      </c>
      <c r="E61" s="176" t="s">
        <v>60</v>
      </c>
      <c r="F61" s="185">
        <v>378029.08</v>
      </c>
      <c r="G61" s="185">
        <v>9135.16</v>
      </c>
      <c r="H61" s="186">
        <v>11769.26</v>
      </c>
      <c r="I61" s="187">
        <v>1249.8800000000001</v>
      </c>
      <c r="J61" s="185">
        <f>F61-G61</f>
        <v>368893.92000000004</v>
      </c>
      <c r="K61" s="180">
        <f>J61/H61</f>
        <v>31.34384999566668</v>
      </c>
      <c r="L61" s="189">
        <f>+IF(E61="Weekdays",K61/$G$98,IF(E61="Saturdays",K61/$G$99,IF(E61="Sundays",K61/$G$100, "NA")))</f>
        <v>0.79424035948446192</v>
      </c>
      <c r="M61" s="189">
        <f>G61/F61</f>
        <v>2.4165230886470424E-2</v>
      </c>
      <c r="N61" s="181">
        <f>+IF(E61="Weekdays",M61/$G$104,IF(E61="Saturdays",M61/$G$105,IF(E61="Sundays",M61/$G$106,"NA")))</f>
        <v>0.51741982122602137</v>
      </c>
      <c r="O61" s="182">
        <f>H61/I61</f>
        <v>9.4163119659487311</v>
      </c>
      <c r="P61" s="183"/>
    </row>
    <row r="62" spans="1:16" x14ac:dyDescent="0.25">
      <c r="A62" s="174" t="s">
        <v>117</v>
      </c>
      <c r="B62" s="176">
        <v>645</v>
      </c>
      <c r="C62" s="176" t="s">
        <v>100</v>
      </c>
      <c r="D62" s="177" t="s">
        <v>19</v>
      </c>
      <c r="E62" s="176" t="s">
        <v>60</v>
      </c>
      <c r="F62" s="185">
        <v>291363.82</v>
      </c>
      <c r="G62" s="185">
        <v>8053.1</v>
      </c>
      <c r="H62" s="186">
        <v>10072.25</v>
      </c>
      <c r="I62" s="187">
        <v>1046.9000000000001</v>
      </c>
      <c r="J62" s="185">
        <f>F62-G62</f>
        <v>283310.72000000003</v>
      </c>
      <c r="K62" s="180">
        <f>J62/H62</f>
        <v>28.127848296060961</v>
      </c>
      <c r="L62" s="189">
        <f>+IF(E62="Weekdays",K62/$G$98,IF(E62="Saturdays",K62/$G$99,IF(E62="Sundays",K62/$G$100, "NA")))</f>
        <v>0.71274818968558218</v>
      </c>
      <c r="M62" s="189">
        <f>G62/F62</f>
        <v>2.7639327353684476E-2</v>
      </c>
      <c r="N62" s="181">
        <f>+IF(E62="Weekdays",M62/$G$104,IF(E62="Saturdays",M62/$G$105,IF(E62="Sundays",M62/$G$106,"NA")))</f>
        <v>0.59180629745846103</v>
      </c>
      <c r="O62" s="182">
        <f>H62/I62</f>
        <v>9.6210239755468514</v>
      </c>
      <c r="P62" s="183"/>
    </row>
    <row r="63" spans="1:16" x14ac:dyDescent="0.25">
      <c r="A63" s="174" t="s">
        <v>117</v>
      </c>
      <c r="B63" s="177">
        <v>721</v>
      </c>
      <c r="C63" s="177" t="s">
        <v>100</v>
      </c>
      <c r="D63" s="177" t="s">
        <v>19</v>
      </c>
      <c r="E63" s="177" t="s">
        <v>60</v>
      </c>
      <c r="F63" s="185">
        <v>316961.69</v>
      </c>
      <c r="G63" s="185">
        <v>10633.9</v>
      </c>
      <c r="H63" s="228">
        <v>14850.57</v>
      </c>
      <c r="I63" s="228">
        <v>957</v>
      </c>
      <c r="J63" s="185">
        <f>F63-G63</f>
        <v>306327.78999999998</v>
      </c>
      <c r="K63" s="180">
        <f>J63/H63</f>
        <v>20.627342250162787</v>
      </c>
      <c r="L63" s="189">
        <f>+IF(E63="Weekdays",K63/$G$98,IF(E63="Saturdays",K63/$G$99,IF(E63="Sundays",K63/$G$100, "NA")))</f>
        <v>0.52268842934876536</v>
      </c>
      <c r="M63" s="189">
        <f>G63/F63</f>
        <v>3.3549480380420736E-2</v>
      </c>
      <c r="N63" s="181">
        <f>+IF(E63="Weekdays",M63/$G$104,IF(E63="Saturdays",M63/$G$105,IF(E63="Sundays",M63/$G$106,"NA")))</f>
        <v>0.71835300155903836</v>
      </c>
      <c r="O63" s="182">
        <f>H63/I63</f>
        <v>15.517836990595612</v>
      </c>
      <c r="P63" s="183"/>
    </row>
    <row r="64" spans="1:16" x14ac:dyDescent="0.25">
      <c r="A64" s="174" t="s">
        <v>117</v>
      </c>
      <c r="B64" s="177">
        <v>722</v>
      </c>
      <c r="C64" s="177" t="s">
        <v>100</v>
      </c>
      <c r="D64" s="177" t="s">
        <v>19</v>
      </c>
      <c r="E64" s="177" t="s">
        <v>60</v>
      </c>
      <c r="F64" s="185">
        <v>392543.27</v>
      </c>
      <c r="G64" s="185">
        <v>13837.19</v>
      </c>
      <c r="H64" s="228">
        <v>18497.21</v>
      </c>
      <c r="I64" s="228">
        <v>1219.1600000000001</v>
      </c>
      <c r="J64" s="185">
        <f>F64-G64</f>
        <v>378706.08</v>
      </c>
      <c r="K64" s="180">
        <f>J64/H64</f>
        <v>20.473686572191159</v>
      </c>
      <c r="L64" s="189">
        <f>+IF(E64="Weekdays",K64/$G$98,IF(E64="Saturdays",K64/$G$99,IF(E64="Sundays",K64/$G$100, "NA")))</f>
        <v>0.51879485721496921</v>
      </c>
      <c r="M64" s="189">
        <f>G64/F64</f>
        <v>3.5250101218140865E-2</v>
      </c>
      <c r="N64" s="181">
        <f>+IF(E64="Weekdays",M64/$G$104,IF(E64="Saturdays",M64/$G$105,IF(E64="Sundays",M64/$G$106,"NA")))</f>
        <v>0.75476626547364267</v>
      </c>
      <c r="O64" s="182">
        <f>H64/I64</f>
        <v>15.172093900718526</v>
      </c>
      <c r="P64" s="183"/>
    </row>
    <row r="65" spans="1:16" x14ac:dyDescent="0.25">
      <c r="A65" s="174" t="s">
        <v>117</v>
      </c>
      <c r="B65" s="177">
        <v>723</v>
      </c>
      <c r="C65" s="177" t="s">
        <v>100</v>
      </c>
      <c r="D65" s="177" t="s">
        <v>19</v>
      </c>
      <c r="E65" s="177" t="s">
        <v>60</v>
      </c>
      <c r="F65" s="185">
        <v>137094.82</v>
      </c>
      <c r="G65" s="185">
        <v>4129.93</v>
      </c>
      <c r="H65" s="228">
        <v>5604.56</v>
      </c>
      <c r="I65" s="228">
        <v>412.96</v>
      </c>
      <c r="J65" s="185">
        <f>F65-G65</f>
        <v>132964.89000000001</v>
      </c>
      <c r="K65" s="180">
        <f>J65/H65</f>
        <v>23.724411907446793</v>
      </c>
      <c r="L65" s="189">
        <f>+IF(E65="Weekdays",K65/$G$98,IF(E65="Saturdays",K65/$G$99,IF(E65="Sundays",K65/$G$100, "NA")))</f>
        <v>0.60116690976166098</v>
      </c>
      <c r="M65" s="189">
        <f>G65/F65</f>
        <v>3.0124624694062109E-2</v>
      </c>
      <c r="N65" s="181">
        <f>+IF(E65="Weekdays",M65/$G$104,IF(E65="Saturdays",M65/$G$105,IF(E65="Sundays",M65/$G$106,"NA")))</f>
        <v>0.64502085649135943</v>
      </c>
      <c r="O65" s="182">
        <f>H65/I65</f>
        <v>13.571677644323907</v>
      </c>
      <c r="P65" s="183"/>
    </row>
    <row r="66" spans="1:16" x14ac:dyDescent="0.25">
      <c r="A66" s="174" t="s">
        <v>117</v>
      </c>
      <c r="B66" s="177">
        <v>724</v>
      </c>
      <c r="C66" s="177" t="s">
        <v>100</v>
      </c>
      <c r="D66" s="177" t="s">
        <v>19</v>
      </c>
      <c r="E66" s="177" t="s">
        <v>60</v>
      </c>
      <c r="F66" s="185">
        <v>816993.51</v>
      </c>
      <c r="G66" s="185">
        <v>32769.42</v>
      </c>
      <c r="H66" s="228">
        <v>44643.86</v>
      </c>
      <c r="I66" s="228">
        <v>2219.66</v>
      </c>
      <c r="J66" s="185">
        <f>F66-G66</f>
        <v>784224.09</v>
      </c>
      <c r="K66" s="180">
        <f>J66/H66</f>
        <v>17.56622500832141</v>
      </c>
      <c r="L66" s="189">
        <f>+IF(E66="Weekdays",K66/$G$98,IF(E66="Saturdays",K66/$G$99,IF(E66="Sundays",K66/$G$100, "NA")))</f>
        <v>0.44512096846185117</v>
      </c>
      <c r="M66" s="189">
        <f>G66/F66</f>
        <v>4.0109767824226657E-2</v>
      </c>
      <c r="N66" s="181">
        <f>+IF(E66="Weekdays",M66/$G$104,IF(E66="Saturdays",M66/$G$105,IF(E66="Sundays",M66/$G$106,"NA")))</f>
        <v>0.85882021961760169</v>
      </c>
      <c r="O66" s="182">
        <f>H66/I66</f>
        <v>20.112927205067443</v>
      </c>
      <c r="P66" s="183"/>
    </row>
    <row r="67" spans="1:16" x14ac:dyDescent="0.25">
      <c r="A67" s="174" t="s">
        <v>117</v>
      </c>
      <c r="B67" s="341">
        <v>219</v>
      </c>
      <c r="C67" s="341" t="s">
        <v>100</v>
      </c>
      <c r="D67" s="341" t="s">
        <v>19</v>
      </c>
      <c r="E67" s="341" t="s">
        <v>59</v>
      </c>
      <c r="F67" s="343">
        <v>134503</v>
      </c>
      <c r="G67" s="343">
        <v>12141.13</v>
      </c>
      <c r="H67" s="228">
        <v>9079</v>
      </c>
      <c r="I67" s="228">
        <v>1308.81</v>
      </c>
      <c r="J67" s="343">
        <f>F67-G67</f>
        <v>122361.87</v>
      </c>
      <c r="K67" s="346">
        <f>J67/H67</f>
        <v>13.477461174138121</v>
      </c>
      <c r="L67" s="189">
        <f>+IF(E67="Weekdays",K67/$G$98,IF(E67="Saturdays",K67/$G$99,IF(E67="Sundays",K67/$G$100, "NA")))</f>
        <v>0.46438134340999332</v>
      </c>
      <c r="M67" s="189">
        <f>G67/F67</f>
        <v>9.0266611153654558E-2</v>
      </c>
      <c r="N67" s="181">
        <f>+IF(E67="Weekdays",M67/$G$104,IF(E67="Saturdays",M67/$G$105,IF(E67="Sundays",M67/$G$106,"NA")))</f>
        <v>1.5536672702028846</v>
      </c>
      <c r="O67" s="349">
        <f>H67/I67</f>
        <v>6.9368357515605785</v>
      </c>
      <c r="P67" s="183"/>
    </row>
    <row r="68" spans="1:16" x14ac:dyDescent="0.25">
      <c r="A68" s="174" t="s">
        <v>117</v>
      </c>
      <c r="B68" s="177">
        <v>225</v>
      </c>
      <c r="C68" s="177" t="s">
        <v>100</v>
      </c>
      <c r="D68" s="177" t="s">
        <v>19</v>
      </c>
      <c r="E68" s="177" t="s">
        <v>59</v>
      </c>
      <c r="F68" s="185">
        <v>40689</v>
      </c>
      <c r="G68" s="185">
        <v>1051.44</v>
      </c>
      <c r="H68" s="228">
        <v>1360</v>
      </c>
      <c r="I68" s="228">
        <v>348.95</v>
      </c>
      <c r="J68" s="185">
        <f>F68-G68</f>
        <v>39637.56</v>
      </c>
      <c r="K68" s="180">
        <f>J68/H68</f>
        <v>29.145264705882351</v>
      </c>
      <c r="L68" s="189">
        <f>+IF(E68="Weekdays",K68/$G$98,IF(E68="Saturdays",K68/$G$99,IF(E68="Sundays",K68/$G$100, "NA")))</f>
        <v>1.0042334385743863</v>
      </c>
      <c r="M68" s="189">
        <f>G68/F68</f>
        <v>2.5840890658408909E-2</v>
      </c>
      <c r="N68" s="181">
        <f>+IF(E68="Weekdays",M68/$G$104,IF(E68="Saturdays",M68/$G$105,IF(E68="Sundays",M68/$G$106,"NA")))</f>
        <v>0.44477294024608949</v>
      </c>
      <c r="O68" s="182">
        <f>H68/I68</f>
        <v>3.8974065052299758</v>
      </c>
      <c r="P68" s="183"/>
    </row>
    <row r="69" spans="1:16" x14ac:dyDescent="0.25">
      <c r="A69" s="174" t="s">
        <v>117</v>
      </c>
      <c r="B69" s="177">
        <v>227</v>
      </c>
      <c r="C69" s="177" t="s">
        <v>100</v>
      </c>
      <c r="D69" s="177" t="s">
        <v>19</v>
      </c>
      <c r="E69" s="177" t="s">
        <v>59</v>
      </c>
      <c r="F69" s="185">
        <v>40689</v>
      </c>
      <c r="G69" s="185">
        <v>1174.72</v>
      </c>
      <c r="H69" s="228">
        <v>1081</v>
      </c>
      <c r="I69" s="228">
        <v>348.95</v>
      </c>
      <c r="J69" s="185">
        <f>F69-G69</f>
        <v>39514.28</v>
      </c>
      <c r="K69" s="180">
        <f>J69/H69</f>
        <v>36.55345050878816</v>
      </c>
      <c r="L69" s="189">
        <f>+IF(E69="Weekdays",K69/$G$98,IF(E69="Saturdays",K69/$G$99,IF(E69="Sundays",K69/$G$100, "NA")))</f>
        <v>1.259490955619635</v>
      </c>
      <c r="M69" s="189">
        <f>G69/F69</f>
        <v>2.8870702155373688E-2</v>
      </c>
      <c r="N69" s="181">
        <f>+IF(E69="Weekdays",M69/$G$104,IF(E69="Saturdays",M69/$G$105,IF(E69="Sundays",M69/$G$106,"NA")))</f>
        <v>0.49692200065233028</v>
      </c>
      <c r="O69" s="182">
        <f>H69/I69</f>
        <v>3.0978650236423557</v>
      </c>
      <c r="P69" s="183"/>
    </row>
    <row r="70" spans="1:16" x14ac:dyDescent="0.25">
      <c r="A70" s="174" t="s">
        <v>117</v>
      </c>
      <c r="B70" s="177">
        <v>323</v>
      </c>
      <c r="C70" s="177" t="s">
        <v>100</v>
      </c>
      <c r="D70" s="177" t="s">
        <v>19</v>
      </c>
      <c r="E70" s="177" t="s">
        <v>59</v>
      </c>
      <c r="F70" s="185">
        <v>160889</v>
      </c>
      <c r="G70" s="185">
        <v>6161.68</v>
      </c>
      <c r="H70" s="228">
        <v>5566</v>
      </c>
      <c r="I70" s="228">
        <v>1328.32</v>
      </c>
      <c r="J70" s="185">
        <f>F70-G70</f>
        <v>154727.32</v>
      </c>
      <c r="K70" s="180">
        <f>J70/H70</f>
        <v>27.798656126482214</v>
      </c>
      <c r="L70" s="189">
        <f>+IF(E70="Weekdays",K70/$G$98,IF(E70="Saturdays",K70/$G$99,IF(E70="Sundays",K70/$G$100, "NA")))</f>
        <v>0.95783449940702869</v>
      </c>
      <c r="M70" s="189">
        <f>G70/F70</f>
        <v>3.8297708357936222E-2</v>
      </c>
      <c r="N70" s="181">
        <f>+IF(E70="Weekdays",M70/$G$104,IF(E70="Saturdays",M70/$G$105,IF(E70="Sundays",M70/$G$106,"NA")))</f>
        <v>0.65917946003550576</v>
      </c>
      <c r="O70" s="182">
        <f>H70/I70</f>
        <v>4.1902553601541799</v>
      </c>
      <c r="P70" s="183"/>
    </row>
    <row r="71" spans="1:16" x14ac:dyDescent="0.25">
      <c r="A71" s="174" t="s">
        <v>8</v>
      </c>
      <c r="B71" s="177">
        <v>410</v>
      </c>
      <c r="C71" s="177" t="s">
        <v>103</v>
      </c>
      <c r="D71" s="177" t="s">
        <v>19</v>
      </c>
      <c r="E71" s="177" t="s">
        <v>59</v>
      </c>
      <c r="F71" s="185">
        <v>201085.56</v>
      </c>
      <c r="G71" s="180">
        <v>8436.23</v>
      </c>
      <c r="H71" s="228">
        <v>3834</v>
      </c>
      <c r="I71" s="228">
        <v>1018.84</v>
      </c>
      <c r="J71" s="185">
        <f>F71-G71</f>
        <v>192649.33</v>
      </c>
      <c r="K71" s="180">
        <f>J71/H71</f>
        <v>50.247608242044855</v>
      </c>
      <c r="L71" s="189">
        <f>+IF(E71="Weekdays",K71/$G$98,IF(E71="Saturdays",K71/$G$99,IF(E71="Sundays",K71/$G$100, "NA")))</f>
        <v>1.7313388268819887</v>
      </c>
      <c r="M71" s="189">
        <f>G71/F71</f>
        <v>4.1953435144721482E-2</v>
      </c>
      <c r="N71" s="181">
        <f>+IF(E71="Weekdays",M71/$G$104,IF(E71="Saturdays",M71/$G$105,IF(E71="Sundays",M71/$G$106,"NA")))</f>
        <v>0.72210176303150408</v>
      </c>
      <c r="O71" s="182">
        <f>H71/I71</f>
        <v>3.763103136900789</v>
      </c>
      <c r="P71" s="193" t="s">
        <v>111</v>
      </c>
    </row>
    <row r="72" spans="1:16" x14ac:dyDescent="0.25">
      <c r="A72" s="174" t="s">
        <v>8</v>
      </c>
      <c r="B72" s="177">
        <v>442</v>
      </c>
      <c r="C72" s="177" t="s">
        <v>100</v>
      </c>
      <c r="D72" s="177" t="s">
        <v>19</v>
      </c>
      <c r="E72" s="177" t="s">
        <v>59</v>
      </c>
      <c r="F72" s="185">
        <v>255358.2</v>
      </c>
      <c r="G72" s="180">
        <v>11699.38</v>
      </c>
      <c r="H72" s="228">
        <v>5317</v>
      </c>
      <c r="I72" s="228">
        <v>1252.3499999999999</v>
      </c>
      <c r="J72" s="185">
        <f>F72-G72</f>
        <v>243658.82</v>
      </c>
      <c r="K72" s="180">
        <f>J72/H72</f>
        <v>45.826372014293774</v>
      </c>
      <c r="L72" s="189">
        <f>+IF(E72="Weekdays",K72/$G$98,IF(E72="Saturdays",K72/$G$99,IF(E72="Sundays",K72/$G$100, "NA")))</f>
        <v>1.5790000746164103</v>
      </c>
      <c r="M72" s="189">
        <f>G72/F72</f>
        <v>4.5815564176125922E-2</v>
      </c>
      <c r="N72" s="181">
        <f>+IF(E72="Weekdays",M72/$G$104,IF(E72="Saturdays",M72/$G$105,IF(E72="Sundays",M72/$G$106,"NA")))</f>
        <v>0.78857665770966234</v>
      </c>
      <c r="O72" s="182">
        <f>H72/I72</f>
        <v>4.2456182377130993</v>
      </c>
      <c r="P72" s="183"/>
    </row>
    <row r="73" spans="1:16" x14ac:dyDescent="0.25">
      <c r="A73" s="174" t="s">
        <v>8</v>
      </c>
      <c r="B73" s="176">
        <v>444</v>
      </c>
      <c r="C73" s="176" t="s">
        <v>100</v>
      </c>
      <c r="D73" s="177" t="s">
        <v>19</v>
      </c>
      <c r="E73" s="176" t="s">
        <v>59</v>
      </c>
      <c r="F73" s="185">
        <v>600552.71</v>
      </c>
      <c r="G73" s="180">
        <v>52857.34</v>
      </c>
      <c r="H73" s="186">
        <v>24022</v>
      </c>
      <c r="I73" s="187">
        <v>2583.9</v>
      </c>
      <c r="J73" s="185">
        <f>F73-G73</f>
        <v>547695.37</v>
      </c>
      <c r="K73" s="180">
        <f>J73/H73</f>
        <v>22.799740654400132</v>
      </c>
      <c r="L73" s="189">
        <f>+IF(E73="Weekdays",K73/$G$98,IF(E73="Saturdays",K73/$G$99,IF(E73="Sundays",K73/$G$100, "NA")))</f>
        <v>0.78559114789413287</v>
      </c>
      <c r="M73" s="189">
        <f>G73/F73</f>
        <v>8.8014489186136552E-2</v>
      </c>
      <c r="N73" s="181">
        <f>+IF(E73="Weekdays",M73/$G$104,IF(E73="Saturdays",M73/$G$105,IF(E73="Sundays",M73/$G$106,"NA")))</f>
        <v>1.5149037878397165</v>
      </c>
      <c r="O73" s="182">
        <f>H73/I73</f>
        <v>9.2967994117419401</v>
      </c>
      <c r="P73" s="307"/>
    </row>
    <row r="74" spans="1:16" x14ac:dyDescent="0.25">
      <c r="A74" s="174" t="s">
        <v>8</v>
      </c>
      <c r="B74" s="176">
        <v>445</v>
      </c>
      <c r="C74" s="176" t="s">
        <v>100</v>
      </c>
      <c r="D74" s="177" t="s">
        <v>19</v>
      </c>
      <c r="E74" s="176" t="s">
        <v>59</v>
      </c>
      <c r="F74" s="185">
        <v>171108.37</v>
      </c>
      <c r="G74" s="180">
        <v>10051.299999999999</v>
      </c>
      <c r="H74" s="186">
        <v>4568</v>
      </c>
      <c r="I74" s="187">
        <v>736.2</v>
      </c>
      <c r="J74" s="185">
        <f>F74-G74</f>
        <v>161057.07</v>
      </c>
      <c r="K74" s="180">
        <f>J74/H74</f>
        <v>35.257677320490366</v>
      </c>
      <c r="L74" s="189">
        <f>+IF(E74="Weekdays",K74/$G$98,IF(E74="Saturdays",K74/$G$99,IF(E74="Sundays",K74/$G$100, "NA")))</f>
        <v>1.2148436080100538</v>
      </c>
      <c r="M74" s="189">
        <f>G74/F74</f>
        <v>5.8742304657568765E-2</v>
      </c>
      <c r="N74" s="181">
        <f>+IF(E74="Weekdays",M74/$G$104,IF(E74="Saturdays",M74/$G$105,IF(E74="Sundays",M74/$G$106,"NA")))</f>
        <v>1.0110714798785934</v>
      </c>
      <c r="O74" s="182">
        <f>H74/I74</f>
        <v>6.2048356424884537</v>
      </c>
      <c r="P74" s="307"/>
    </row>
    <row r="75" spans="1:16" x14ac:dyDescent="0.25">
      <c r="A75" s="174" t="s">
        <v>8</v>
      </c>
      <c r="B75" s="176">
        <v>446</v>
      </c>
      <c r="C75" s="176" t="s">
        <v>100</v>
      </c>
      <c r="D75" s="177" t="s">
        <v>19</v>
      </c>
      <c r="E75" s="176" t="s">
        <v>59</v>
      </c>
      <c r="F75" s="185">
        <v>152375.23000000001</v>
      </c>
      <c r="G75" s="180">
        <v>8766.2800000000007</v>
      </c>
      <c r="H75" s="186">
        <v>3984</v>
      </c>
      <c r="I75" s="187">
        <v>655.6</v>
      </c>
      <c r="J75" s="185">
        <f>F75-G75</f>
        <v>143608.95000000001</v>
      </c>
      <c r="K75" s="180">
        <f>J75/H75</f>
        <v>36.046423192771087</v>
      </c>
      <c r="L75" s="189">
        <f>+IF(E75="Weekdays",K75/$G$98,IF(E75="Saturdays",K75/$G$99,IF(E75="Sundays",K75/$G$100, "NA")))</f>
        <v>1.2420207493904838</v>
      </c>
      <c r="M75" s="189">
        <f>G75/F75</f>
        <v>5.7530872964063777E-2</v>
      </c>
      <c r="N75" s="181">
        <f>+IF(E75="Weekdays",M75/$G$104,IF(E75="Saturdays",M75/$G$105,IF(E75="Sundays",M75/$G$106,"NA")))</f>
        <v>0.99022033959283173</v>
      </c>
      <c r="O75" s="182">
        <f>H75/I75</f>
        <v>6.0768761439902379</v>
      </c>
      <c r="P75" s="307"/>
    </row>
    <row r="76" spans="1:16" x14ac:dyDescent="0.25">
      <c r="A76" s="174" t="s">
        <v>8</v>
      </c>
      <c r="B76" s="177">
        <v>447</v>
      </c>
      <c r="C76" s="177" t="s">
        <v>100</v>
      </c>
      <c r="D76" s="177" t="s">
        <v>19</v>
      </c>
      <c r="E76" s="177" t="s">
        <v>59</v>
      </c>
      <c r="F76" s="185">
        <v>161637.21</v>
      </c>
      <c r="G76" s="180">
        <v>4125.7</v>
      </c>
      <c r="H76" s="228">
        <v>1875</v>
      </c>
      <c r="I76" s="228">
        <v>695.45</v>
      </c>
      <c r="J76" s="185">
        <f>F76-G76</f>
        <v>157511.50999999998</v>
      </c>
      <c r="K76" s="180">
        <f>J76/H76</f>
        <v>84.006138666666658</v>
      </c>
      <c r="L76" s="189">
        <f>+IF(E76="Weekdays",K76/$G$98,IF(E76="Saturdays",K76/$G$99,IF(E76="Sundays",K76/$G$100, "NA")))</f>
        <v>2.8945276135219573</v>
      </c>
      <c r="M76" s="189">
        <f>G76/F76</f>
        <v>2.552444452610881E-2</v>
      </c>
      <c r="N76" s="181">
        <f>+IF(E76="Weekdays",M76/$G$104,IF(E76="Saturdays",M76/$G$105,IF(E76="Sundays",M76/$G$106,"NA")))</f>
        <v>0.43932627516967432</v>
      </c>
      <c r="O76" s="182">
        <f>H76/I76</f>
        <v>2.6960960529153786</v>
      </c>
      <c r="P76" s="183"/>
    </row>
    <row r="77" spans="1:16" x14ac:dyDescent="0.25">
      <c r="A77" s="174" t="s">
        <v>8</v>
      </c>
      <c r="B77" s="177">
        <v>495</v>
      </c>
      <c r="C77" s="177" t="s">
        <v>100</v>
      </c>
      <c r="D77" s="177" t="s">
        <v>80</v>
      </c>
      <c r="E77" s="177" t="s">
        <v>59</v>
      </c>
      <c r="F77" s="185">
        <v>432070.7</v>
      </c>
      <c r="G77" s="180">
        <v>23381.15</v>
      </c>
      <c r="H77" s="228">
        <v>10626</v>
      </c>
      <c r="I77" s="228">
        <v>1859</v>
      </c>
      <c r="J77" s="185">
        <f>F77-G77</f>
        <v>408689.55</v>
      </c>
      <c r="K77" s="180">
        <f>J77/H77</f>
        <v>38.46127893845285</v>
      </c>
      <c r="L77" s="189">
        <f>+IF(E77="Weekdays",K77/$G$98,IF(E77="Saturdays",K77/$G$99,IF(E77="Sundays",K77/$G$100, "NA")))</f>
        <v>1.325227366781667</v>
      </c>
      <c r="M77" s="189">
        <f>G77/F77</f>
        <v>5.4114176221622991E-2</v>
      </c>
      <c r="N77" s="181">
        <f>+IF(E77="Weekdays",M77/$G$104,IF(E77="Saturdays",M77/$G$105,IF(E77="Sundays",M77/$G$106,"NA")))</f>
        <v>0.93141221737471802</v>
      </c>
      <c r="O77" s="182">
        <f>H77/I77</f>
        <v>5.7159763313609471</v>
      </c>
      <c r="P77" s="183"/>
    </row>
    <row r="78" spans="1:16" x14ac:dyDescent="0.25">
      <c r="A78" s="174" t="s">
        <v>8</v>
      </c>
      <c r="B78" s="177">
        <v>497</v>
      </c>
      <c r="C78" s="177" t="s">
        <v>100</v>
      </c>
      <c r="D78" s="177" t="s">
        <v>19</v>
      </c>
      <c r="E78" s="177" t="s">
        <v>59</v>
      </c>
      <c r="F78" s="233">
        <v>63099.519999999997</v>
      </c>
      <c r="G78" s="236">
        <v>2044.15</v>
      </c>
      <c r="H78" s="234">
        <v>929</v>
      </c>
      <c r="I78" s="235">
        <v>425.15</v>
      </c>
      <c r="J78" s="185">
        <f>F78-G78</f>
        <v>61055.369999999995</v>
      </c>
      <c r="K78" s="180">
        <f>J78/H78</f>
        <v>65.721603875134548</v>
      </c>
      <c r="L78" s="189">
        <f>+IF(E78="Weekdays",K78/$G$98,IF(E78="Saturdays",K78/$G$99,IF(E78="Sundays",K78/$G$100, "NA")))</f>
        <v>2.2645130491756835</v>
      </c>
      <c r="M78" s="189">
        <f>G78/F78</f>
        <v>3.2395650553284722E-2</v>
      </c>
      <c r="N78" s="181">
        <f>+IF(E78="Weekdays",M78/$G$104,IF(E78="Saturdays",M78/$G$105,IF(E78="Sundays",M78/$G$106,"NA")))</f>
        <v>0.55759334839647057</v>
      </c>
      <c r="O78" s="182">
        <f>H78/I78</f>
        <v>2.185111137245678</v>
      </c>
      <c r="P78" s="183"/>
    </row>
    <row r="79" spans="1:16" x14ac:dyDescent="0.25">
      <c r="A79" s="174" t="s">
        <v>8</v>
      </c>
      <c r="B79" s="176">
        <v>499</v>
      </c>
      <c r="C79" s="176" t="s">
        <v>100</v>
      </c>
      <c r="D79" s="177" t="s">
        <v>19</v>
      </c>
      <c r="E79" s="176" t="s">
        <v>59</v>
      </c>
      <c r="F79" s="185">
        <v>77193.53</v>
      </c>
      <c r="G79" s="180">
        <v>2176.17</v>
      </c>
      <c r="H79" s="186">
        <v>989</v>
      </c>
      <c r="I79" s="187">
        <v>485.79</v>
      </c>
      <c r="J79" s="185">
        <f>F79-G79</f>
        <v>75017.36</v>
      </c>
      <c r="K79" s="180">
        <f>J79/H79</f>
        <v>75.851729019211319</v>
      </c>
      <c r="L79" s="189">
        <f>+IF(E79="Weekdays",K79/$G$98,IF(E79="Saturdays",K79/$G$99,IF(E79="Sundays",K79/$G$100, "NA")))</f>
        <v>2.6135581002083428</v>
      </c>
      <c r="M79" s="189">
        <f>G79/F79</f>
        <v>2.8191093217268339E-2</v>
      </c>
      <c r="N79" s="181">
        <f>+IF(E79="Weekdays",M79/$G$104,IF(E79="Saturdays",M79/$G$105,IF(E79="Sundays",M79/$G$106,"NA")))</f>
        <v>0.4852245839644006</v>
      </c>
      <c r="O79" s="182">
        <f>H79/I79</f>
        <v>2.0358591160789641</v>
      </c>
      <c r="P79" s="183"/>
    </row>
    <row r="80" spans="1:16" x14ac:dyDescent="0.25">
      <c r="A80" s="174" t="s">
        <v>117</v>
      </c>
      <c r="B80" s="177">
        <v>515</v>
      </c>
      <c r="C80" s="177" t="s">
        <v>100</v>
      </c>
      <c r="D80" s="177" t="s">
        <v>19</v>
      </c>
      <c r="E80" s="177" t="s">
        <v>59</v>
      </c>
      <c r="F80" s="233">
        <v>588573.57999999996</v>
      </c>
      <c r="G80" s="233">
        <v>34424.51</v>
      </c>
      <c r="H80" s="234">
        <v>43260.58</v>
      </c>
      <c r="I80" s="235">
        <v>1537.12</v>
      </c>
      <c r="J80" s="185">
        <f>F80-G80</f>
        <v>554149.06999999995</v>
      </c>
      <c r="K80" s="180">
        <f>J80/H80</f>
        <v>12.809561730332787</v>
      </c>
      <c r="L80" s="189">
        <f>+IF(E80="Weekdays",K80/$G$98,IF(E80="Saturdays",K80/$G$99,IF(E80="Sundays",K80/$G$100, "NA")))</f>
        <v>0.44136810397493759</v>
      </c>
      <c r="M80" s="189">
        <f>G80/F80</f>
        <v>5.848803135200191E-2</v>
      </c>
      <c r="N80" s="181">
        <f>+IF(E80="Weekdays",M80/$G$104,IF(E80="Saturdays",M80/$G$105,IF(E80="Sundays",M80/$G$106,"NA")))</f>
        <v>1.0066949323656593</v>
      </c>
      <c r="O80" s="182">
        <f>H80/I80</f>
        <v>28.143918496929327</v>
      </c>
      <c r="P80" s="183"/>
    </row>
    <row r="81" spans="1:16" x14ac:dyDescent="0.25">
      <c r="A81" s="174" t="s">
        <v>117</v>
      </c>
      <c r="B81" s="176">
        <v>538</v>
      </c>
      <c r="C81" s="176" t="s">
        <v>100</v>
      </c>
      <c r="D81" s="177" t="s">
        <v>19</v>
      </c>
      <c r="E81" s="176" t="s">
        <v>59</v>
      </c>
      <c r="F81" s="185">
        <v>123433</v>
      </c>
      <c r="G81" s="185">
        <v>11773.41</v>
      </c>
      <c r="H81" s="186">
        <v>10224</v>
      </c>
      <c r="I81" s="187">
        <v>1222.48</v>
      </c>
      <c r="J81" s="185">
        <f>F81-G81</f>
        <v>111659.59</v>
      </c>
      <c r="K81" s="180">
        <f>J81/H81</f>
        <v>10.921321400625978</v>
      </c>
      <c r="L81" s="189">
        <f>+IF(E81="Weekdays",K81/$G$98,IF(E81="Saturdays",K81/$G$99,IF(E81="Sundays",K81/$G$100, "NA")))</f>
        <v>0.37630662320637942</v>
      </c>
      <c r="M81" s="189">
        <f>G81/F81</f>
        <v>9.5383001304351345E-2</v>
      </c>
      <c r="N81" s="181">
        <f>+IF(E81="Weekdays",M81/$G$104,IF(E81="Saturdays",M81/$G$105,IF(E81="Sundays",M81/$G$106,"NA")))</f>
        <v>1.6417304844648524</v>
      </c>
      <c r="O81" s="182">
        <f>H81/I81</f>
        <v>8.3633270073948047</v>
      </c>
      <c r="P81" s="183"/>
    </row>
    <row r="82" spans="1:16" x14ac:dyDescent="0.25">
      <c r="A82" s="174" t="s">
        <v>117</v>
      </c>
      <c r="B82" s="177">
        <v>539</v>
      </c>
      <c r="C82" s="177" t="s">
        <v>100</v>
      </c>
      <c r="D82" s="177" t="s">
        <v>19</v>
      </c>
      <c r="E82" s="177" t="s">
        <v>59</v>
      </c>
      <c r="F82" s="185">
        <v>74059</v>
      </c>
      <c r="G82" s="185">
        <v>10377.69</v>
      </c>
      <c r="H82" s="228">
        <v>7371</v>
      </c>
      <c r="I82" s="228">
        <v>560</v>
      </c>
      <c r="J82" s="185">
        <f>F82-G82</f>
        <v>63681.31</v>
      </c>
      <c r="K82" s="180">
        <f>J82/H82</f>
        <v>8.6394396961063631</v>
      </c>
      <c r="L82" s="189">
        <f>+IF(E82="Weekdays",K82/$G$98,IF(E82="Saturdays",K82/$G$99,IF(E82="Sundays",K82/$G$100, "NA")))</f>
        <v>0.29768177853007716</v>
      </c>
      <c r="M82" s="189">
        <f>G82/F82</f>
        <v>0.14012733091184057</v>
      </c>
      <c r="N82" s="181">
        <f>+IF(E82="Weekdays",M82/$G$104,IF(E82="Saturdays",M82/$G$105,IF(E82="Sundays",M82/$G$106,"NA")))</f>
        <v>2.411869072253316</v>
      </c>
      <c r="O82" s="182">
        <f>H82/I82</f>
        <v>13.1625</v>
      </c>
      <c r="P82" s="183"/>
    </row>
    <row r="83" spans="1:16" x14ac:dyDescent="0.25">
      <c r="A83" s="174" t="s">
        <v>117</v>
      </c>
      <c r="B83" s="176">
        <v>540</v>
      </c>
      <c r="C83" s="176" t="s">
        <v>100</v>
      </c>
      <c r="D83" s="177" t="s">
        <v>19</v>
      </c>
      <c r="E83" s="176" t="s">
        <v>59</v>
      </c>
      <c r="F83" s="185">
        <v>189041</v>
      </c>
      <c r="G83" s="185">
        <v>21818</v>
      </c>
      <c r="H83" s="186">
        <v>17361</v>
      </c>
      <c r="I83" s="187">
        <v>1293.5999999999999</v>
      </c>
      <c r="J83" s="185">
        <f>F83-G83</f>
        <v>167223</v>
      </c>
      <c r="K83" s="180">
        <f>J83/H83</f>
        <v>9.6321064454812504</v>
      </c>
      <c r="L83" s="189">
        <f>+IF(E83="Weekdays",K83/$G$98,IF(E83="Saturdays",K83/$G$99,IF(E83="Sundays",K83/$G$100, "NA")))</f>
        <v>0.33188524702291966</v>
      </c>
      <c r="M83" s="189">
        <f>G83/F83</f>
        <v>0.11541411651440693</v>
      </c>
      <c r="N83" s="181">
        <f>+IF(E83="Weekdays",M83/$G$104,IF(E83="Saturdays",M83/$G$105,IF(E83="Sundays",M83/$G$106,"NA")))</f>
        <v>1.9865056753108925</v>
      </c>
      <c r="O83" s="182">
        <f>H83/I83</f>
        <v>13.420686456400743</v>
      </c>
      <c r="P83" s="183"/>
    </row>
    <row r="84" spans="1:16" x14ac:dyDescent="0.25">
      <c r="A84" s="174" t="s">
        <v>117</v>
      </c>
      <c r="B84" s="177">
        <v>546</v>
      </c>
      <c r="C84" s="177" t="s">
        <v>100</v>
      </c>
      <c r="D84" s="177" t="s">
        <v>19</v>
      </c>
      <c r="E84" s="177" t="s">
        <v>59</v>
      </c>
      <c r="F84" s="185">
        <v>74249</v>
      </c>
      <c r="G84" s="185">
        <v>9831.67</v>
      </c>
      <c r="H84" s="228">
        <v>5222</v>
      </c>
      <c r="I84" s="228">
        <v>686</v>
      </c>
      <c r="J84" s="185">
        <f>F84-G84</f>
        <v>64417.33</v>
      </c>
      <c r="K84" s="180">
        <f>J84/H84</f>
        <v>12.335758330141708</v>
      </c>
      <c r="L84" s="189">
        <f>+IF(E84="Weekdays",K84/$G$98,IF(E84="Saturdays",K84/$G$99,IF(E84="Sundays",K84/$G$100, "NA")))</f>
        <v>0.42504266577481409</v>
      </c>
      <c r="M84" s="189">
        <f>G84/F84</f>
        <v>0.13241484733801129</v>
      </c>
      <c r="N84" s="181">
        <f>+IF(E84="Weekdays",M84/$G$104,IF(E84="Saturdays",M84/$G$105,IF(E84="Sundays",M84/$G$106,"NA")))</f>
        <v>2.2791219451872657</v>
      </c>
      <c r="O84" s="182">
        <f>H84/I84</f>
        <v>7.6122448979591839</v>
      </c>
      <c r="P84" s="183"/>
    </row>
    <row r="85" spans="1:16" x14ac:dyDescent="0.25">
      <c r="A85" s="174" t="s">
        <v>117</v>
      </c>
      <c r="B85" s="177">
        <v>612</v>
      </c>
      <c r="C85" s="177" t="s">
        <v>100</v>
      </c>
      <c r="D85" s="177" t="s">
        <v>19</v>
      </c>
      <c r="E85" s="177" t="s">
        <v>59</v>
      </c>
      <c r="F85" s="233">
        <v>539825.72</v>
      </c>
      <c r="G85" s="233">
        <v>14487.5</v>
      </c>
      <c r="H85" s="234">
        <v>18453.72</v>
      </c>
      <c r="I85" s="235">
        <v>1832.34</v>
      </c>
      <c r="J85" s="185">
        <f>F85-G85</f>
        <v>525338.22</v>
      </c>
      <c r="K85" s="180">
        <f>J85/H85</f>
        <v>28.467876395653555</v>
      </c>
      <c r="L85" s="189">
        <f>+IF(E85="Weekdays",K85/$G$98,IF(E85="Saturdays",K85/$G$99,IF(E85="Sundays",K85/$G$100, "NA")))</f>
        <v>0.98089324939113753</v>
      </c>
      <c r="M85" s="189">
        <f>G85/F85</f>
        <v>2.6837365214832671E-2</v>
      </c>
      <c r="N85" s="181">
        <f>+IF(E85="Weekdays",M85/$G$104,IF(E85="Saturdays",M85/$G$105,IF(E85="Sundays",M85/$G$106,"NA")))</f>
        <v>0.46192424219615558</v>
      </c>
      <c r="O85" s="182">
        <f>H85/I85</f>
        <v>10.071122171649368</v>
      </c>
      <c r="P85" s="183"/>
    </row>
    <row r="86" spans="1:16" x14ac:dyDescent="0.25">
      <c r="A86" s="174" t="s">
        <v>117</v>
      </c>
      <c r="B86" s="177">
        <v>615</v>
      </c>
      <c r="C86" s="177" t="s">
        <v>100</v>
      </c>
      <c r="D86" s="177" t="s">
        <v>19</v>
      </c>
      <c r="E86" s="177" t="s">
        <v>59</v>
      </c>
      <c r="F86" s="185">
        <v>113396</v>
      </c>
      <c r="G86" s="185">
        <v>7141.12</v>
      </c>
      <c r="H86" s="228">
        <v>4902</v>
      </c>
      <c r="I86" s="228">
        <v>1131.2</v>
      </c>
      <c r="J86" s="185">
        <f>F86-G86</f>
        <v>106254.88</v>
      </c>
      <c r="K86" s="180">
        <f>J86/H86</f>
        <v>21.675822113423095</v>
      </c>
      <c r="L86" s="189">
        <f>+IF(E86="Weekdays",K86/$G$98,IF(E86="Saturdays",K86/$G$99,IF(E86="Sundays",K86/$G$100, "NA")))</f>
        <v>0.7468652487653088</v>
      </c>
      <c r="M86" s="189">
        <f>G86/F86</f>
        <v>6.2975060848707187E-2</v>
      </c>
      <c r="N86" s="181">
        <f>+IF(E86="Weekdays",M86/$G$104,IF(E86="Saturdays",M86/$G$105,IF(E86="Sundays",M86/$G$106,"NA")))</f>
        <v>1.0839256024923916</v>
      </c>
      <c r="O86" s="182">
        <f>H86/I86</f>
        <v>4.3334512022630829</v>
      </c>
      <c r="P86" s="183"/>
    </row>
    <row r="87" spans="1:16" x14ac:dyDescent="0.25">
      <c r="A87" s="174" t="s">
        <v>117</v>
      </c>
      <c r="B87" s="177">
        <v>645</v>
      </c>
      <c r="C87" s="177" t="s">
        <v>100</v>
      </c>
      <c r="D87" s="177" t="s">
        <v>19</v>
      </c>
      <c r="E87" s="177" t="s">
        <v>59</v>
      </c>
      <c r="F87" s="233">
        <v>355467.8</v>
      </c>
      <c r="G87" s="233">
        <v>10531.46</v>
      </c>
      <c r="H87" s="234">
        <v>13755.13</v>
      </c>
      <c r="I87" s="235">
        <v>1292.2</v>
      </c>
      <c r="J87" s="185">
        <f>F87-G87</f>
        <v>344936.33999999997</v>
      </c>
      <c r="K87" s="180">
        <f>J87/H87</f>
        <v>25.076923300615842</v>
      </c>
      <c r="L87" s="189">
        <f>+IF(E87="Weekdays",K87/$G$98,IF(E87="Saturdays",K87/$G$99,IF(E87="Sundays",K87/$G$100, "NA")))</f>
        <v>0.86405408114069815</v>
      </c>
      <c r="M87" s="189">
        <f>G87/F87</f>
        <v>2.9627043574692279E-2</v>
      </c>
      <c r="N87" s="181">
        <f>+IF(E87="Weekdays",M87/$G$104,IF(E87="Saturdays",M87/$G$105,IF(E87="Sundays",M87/$G$106,"NA")))</f>
        <v>0.50994013541196803</v>
      </c>
      <c r="O87" s="182">
        <f>H87/I87</f>
        <v>10.644737656709486</v>
      </c>
      <c r="P87" s="183"/>
    </row>
    <row r="88" spans="1:16" x14ac:dyDescent="0.25">
      <c r="A88" s="174" t="s">
        <v>117</v>
      </c>
      <c r="B88" s="177">
        <v>716</v>
      </c>
      <c r="C88" s="177" t="s">
        <v>100</v>
      </c>
      <c r="D88" s="177" t="s">
        <v>19</v>
      </c>
      <c r="E88" s="177" t="s">
        <v>59</v>
      </c>
      <c r="F88" s="185">
        <v>65087</v>
      </c>
      <c r="G88" s="185">
        <v>4692.87</v>
      </c>
      <c r="H88" s="228">
        <v>5538</v>
      </c>
      <c r="I88" s="228">
        <v>602</v>
      </c>
      <c r="J88" s="185">
        <f>F88-G88</f>
        <v>60394.13</v>
      </c>
      <c r="K88" s="180">
        <f>J88/H88</f>
        <v>10.905404478150956</v>
      </c>
      <c r="L88" s="189">
        <f>+IF(E88="Weekdays",K88/$G$98,IF(E88="Saturdays",K88/$G$99,IF(E88="Sundays",K88/$G$100, "NA")))</f>
        <v>0.37575818743302419</v>
      </c>
      <c r="M88" s="189">
        <f>G88/F88</f>
        <v>7.2101494922181084E-2</v>
      </c>
      <c r="N88" s="181">
        <f>+IF(E88="Weekdays",M88/$G$104,IF(E88="Saturdays",M88/$G$105,IF(E88="Sundays",M88/$G$106,"NA")))</f>
        <v>1.2410096198538509</v>
      </c>
      <c r="O88" s="182">
        <f>H88/I88</f>
        <v>9.1993355481727583</v>
      </c>
      <c r="P88" s="183"/>
    </row>
    <row r="89" spans="1:16" x14ac:dyDescent="0.25">
      <c r="A89" s="174" t="s">
        <v>117</v>
      </c>
      <c r="B89" s="177">
        <v>721</v>
      </c>
      <c r="C89" s="177" t="s">
        <v>100</v>
      </c>
      <c r="D89" s="177" t="s">
        <v>19</v>
      </c>
      <c r="E89" s="177" t="s">
        <v>59</v>
      </c>
      <c r="F89" s="233">
        <v>284965.98</v>
      </c>
      <c r="G89" s="233">
        <v>11566.32</v>
      </c>
      <c r="H89" s="234">
        <v>15611.58</v>
      </c>
      <c r="I89" s="235">
        <v>858</v>
      </c>
      <c r="J89" s="185">
        <f>F89-G89</f>
        <v>273399.65999999997</v>
      </c>
      <c r="K89" s="180">
        <f>J89/H89</f>
        <v>17.512619478617793</v>
      </c>
      <c r="L89" s="189">
        <f>+IF(E89="Weekdays",K89/$G$98,IF(E89="Saturdays",K89/$G$99,IF(E89="Sundays",K89/$G$100, "NA")))</f>
        <v>0.60341733914352169</v>
      </c>
      <c r="M89" s="189">
        <f>G89/F89</f>
        <v>4.058842392344518E-2</v>
      </c>
      <c r="N89" s="181">
        <f>+IF(E89="Weekdays",M89/$G$104,IF(E89="Saturdays",M89/$G$105,IF(E89="Sundays",M89/$G$106,"NA")))</f>
        <v>0.69860721470569387</v>
      </c>
      <c r="O89" s="182">
        <f>H89/I89</f>
        <v>18.195314685314685</v>
      </c>
      <c r="P89" s="183"/>
    </row>
    <row r="90" spans="1:16" x14ac:dyDescent="0.25">
      <c r="A90" s="174" t="s">
        <v>117</v>
      </c>
      <c r="B90" s="177">
        <v>722</v>
      </c>
      <c r="C90" s="177" t="s">
        <v>100</v>
      </c>
      <c r="D90" s="177" t="s">
        <v>19</v>
      </c>
      <c r="E90" s="177" t="s">
        <v>59</v>
      </c>
      <c r="F90" s="233">
        <v>399393.46</v>
      </c>
      <c r="G90" s="233">
        <v>15291.91</v>
      </c>
      <c r="H90" s="234">
        <v>20407.5</v>
      </c>
      <c r="I90" s="235">
        <v>1168.96</v>
      </c>
      <c r="J90" s="185">
        <f>F90-G90</f>
        <v>384101.55000000005</v>
      </c>
      <c r="K90" s="180">
        <f>J90/H90</f>
        <v>18.82158765159868</v>
      </c>
      <c r="L90" s="189">
        <f>+IF(E90="Weekdays",K90/$G$98,IF(E90="Saturdays",K90/$G$99,IF(E90="Sundays",K90/$G$100, "NA")))</f>
        <v>0.64851933504585157</v>
      </c>
      <c r="M90" s="189">
        <f>G90/F90</f>
        <v>3.8287832755198342E-2</v>
      </c>
      <c r="N90" s="181">
        <f>+IF(E90="Weekdays",M90/$G$104,IF(E90="Saturdays",M90/$G$105,IF(E90="Sundays",M90/$G$106,"NA")))</f>
        <v>0.6590094813407118</v>
      </c>
      <c r="O90" s="182">
        <f>H90/I90</f>
        <v>17.457825759649602</v>
      </c>
      <c r="P90" s="183"/>
    </row>
    <row r="91" spans="1:16" x14ac:dyDescent="0.25">
      <c r="A91" s="174" t="s">
        <v>117</v>
      </c>
      <c r="B91" s="177">
        <v>723</v>
      </c>
      <c r="C91" s="177" t="s">
        <v>100</v>
      </c>
      <c r="D91" s="177" t="s">
        <v>19</v>
      </c>
      <c r="E91" s="177" t="s">
        <v>59</v>
      </c>
      <c r="F91" s="233">
        <v>137064.51999999999</v>
      </c>
      <c r="G91" s="233">
        <v>4362.3599999999997</v>
      </c>
      <c r="H91" s="234">
        <v>7448.58</v>
      </c>
      <c r="I91" s="235">
        <v>409.24</v>
      </c>
      <c r="J91" s="185">
        <f>F91-G91</f>
        <v>132702.16</v>
      </c>
      <c r="K91" s="180">
        <f>J91/H91</f>
        <v>17.815766226582785</v>
      </c>
      <c r="L91" s="189">
        <f>+IF(E91="Weekdays",K91/$G$98,IF(E91="Saturdays",K91/$G$99,IF(E91="Sundays",K91/$G$100, "NA")))</f>
        <v>0.61386260715442031</v>
      </c>
      <c r="M91" s="189">
        <f>G91/F91</f>
        <v>3.1827054878972326E-2</v>
      </c>
      <c r="N91" s="181">
        <f>+IF(E91="Weekdays",M91/$G$104,IF(E91="Saturdays",M91/$G$105,IF(E91="Sundays",M91/$G$106,"NA")))</f>
        <v>0.54780668998681403</v>
      </c>
      <c r="O91" s="182">
        <f>H91/I91</f>
        <v>18.201006744208776</v>
      </c>
      <c r="P91" s="183"/>
    </row>
    <row r="92" spans="1:16" x14ac:dyDescent="0.25">
      <c r="A92" s="174" t="s">
        <v>117</v>
      </c>
      <c r="B92" s="177">
        <v>724</v>
      </c>
      <c r="C92" s="177" t="s">
        <v>100</v>
      </c>
      <c r="D92" s="177" t="s">
        <v>19</v>
      </c>
      <c r="E92" s="177" t="s">
        <v>59</v>
      </c>
      <c r="F92" s="233">
        <v>736840.81</v>
      </c>
      <c r="G92" s="233">
        <v>32949.51</v>
      </c>
      <c r="H92" s="234">
        <v>45738.27</v>
      </c>
      <c r="I92" s="235">
        <v>2074.8000000000002</v>
      </c>
      <c r="J92" s="185">
        <f>F92-G92</f>
        <v>703891.3</v>
      </c>
      <c r="K92" s="180">
        <f>J92/H92</f>
        <v>15.389547964975502</v>
      </c>
      <c r="L92" s="189">
        <f>+IF(E92="Weekdays",K92/$G$98,IF(E92="Saturdays",K92/$G$99,IF(E92="Sundays",K92/$G$100, "NA")))</f>
        <v>0.53026448127793446</v>
      </c>
      <c r="M92" s="189">
        <f>G92/F92</f>
        <v>4.4717270749430937E-2</v>
      </c>
      <c r="N92" s="181">
        <f>+IF(E92="Weekdays",M92/$G$104,IF(E92="Saturdays",M92/$G$105,IF(E92="Sundays",M92/$G$106,"NA")))</f>
        <v>0.76967285121547235</v>
      </c>
      <c r="O92" s="182">
        <f>H92/I92</f>
        <v>22.044664545980332</v>
      </c>
      <c r="P92" s="183"/>
    </row>
    <row r="93" spans="1:16" x14ac:dyDescent="0.25">
      <c r="A93" s="174" t="s">
        <v>117</v>
      </c>
      <c r="B93" s="176">
        <v>804</v>
      </c>
      <c r="C93" s="176" t="s">
        <v>100</v>
      </c>
      <c r="D93" s="177" t="s">
        <v>19</v>
      </c>
      <c r="E93" s="176" t="s">
        <v>59</v>
      </c>
      <c r="F93" s="185">
        <v>104394</v>
      </c>
      <c r="G93" s="185">
        <v>4946.51</v>
      </c>
      <c r="H93" s="186">
        <v>3809</v>
      </c>
      <c r="I93" s="187">
        <v>987.04</v>
      </c>
      <c r="J93" s="185">
        <f>F93-G93</f>
        <v>99447.49</v>
      </c>
      <c r="K93" s="180">
        <f>J93/H93</f>
        <v>26.108556051457075</v>
      </c>
      <c r="L93" s="189">
        <f>+IF(E93="Weekdays",K93/$G$98,IF(E93="Saturdays",K93/$G$99,IF(E93="Sundays",K93/$G$100, "NA")))</f>
        <v>0.8996001677924399</v>
      </c>
      <c r="M93" s="189">
        <f>G93/F93</f>
        <v>4.7383087150602528E-2</v>
      </c>
      <c r="N93" s="181">
        <f>+IF(E93="Weekdays",M93/$G$104,IF(E93="Saturdays",M93/$G$105,IF(E93="Sundays",M93/$G$106,"NA")))</f>
        <v>0.81555683465005668</v>
      </c>
      <c r="O93" s="182">
        <f>H93/I93</f>
        <v>3.8590128059653104</v>
      </c>
      <c r="P93" s="183"/>
    </row>
    <row r="94" spans="1:16" ht="15.75" thickBot="1" x14ac:dyDescent="0.3">
      <c r="A94" s="194" t="s">
        <v>117</v>
      </c>
      <c r="B94" s="197">
        <v>805</v>
      </c>
      <c r="C94" s="197" t="s">
        <v>100</v>
      </c>
      <c r="D94" s="196" t="s">
        <v>19</v>
      </c>
      <c r="E94" s="197" t="s">
        <v>59</v>
      </c>
      <c r="F94" s="198">
        <v>73232</v>
      </c>
      <c r="G94" s="198">
        <v>5495.61</v>
      </c>
      <c r="H94" s="199">
        <v>4421</v>
      </c>
      <c r="I94" s="200">
        <v>772.15</v>
      </c>
      <c r="J94" s="198">
        <f>F94-G94</f>
        <v>67736.39</v>
      </c>
      <c r="K94" s="206">
        <f>J94/H94</f>
        <v>15.321508708437005</v>
      </c>
      <c r="L94" s="222">
        <f>+IF(E94="Weekdays",K94/$G$98,IF(E94="Saturdays",K94/$G$99,IF(E94="Sundays",K94/$G$100, "NA")))</f>
        <v>0.52792011085477242</v>
      </c>
      <c r="M94" s="222">
        <f>G94/F94</f>
        <v>7.5043833296919368E-2</v>
      </c>
      <c r="N94" s="201">
        <f>+IF(E94="Weekdays",M94/$G$104,IF(E94="Saturdays",M94/$G$105,IF(E94="Sundays",M94/$G$106,"NA")))</f>
        <v>1.2916530944705198</v>
      </c>
      <c r="O94" s="218">
        <f>H94/I94</f>
        <v>5.7255714563232534</v>
      </c>
      <c r="P94" s="219"/>
    </row>
    <row r="95" spans="1:16" ht="15.75" thickTop="1" x14ac:dyDescent="0.25">
      <c r="A95" s="21"/>
      <c r="B95" s="21"/>
      <c r="C95" s="21"/>
      <c r="D95" s="21"/>
      <c r="E95" s="21"/>
      <c r="F95" s="21"/>
      <c r="G95" s="21"/>
      <c r="H95" s="21"/>
      <c r="I95" s="21"/>
      <c r="J95" s="28"/>
      <c r="K95" s="21"/>
      <c r="L95" s="21"/>
      <c r="O95" s="21"/>
      <c r="P95" s="308"/>
    </row>
    <row r="96" spans="1:16" ht="15.75" thickBot="1" x14ac:dyDescent="0.3">
      <c r="A96" s="21"/>
      <c r="B96" s="21"/>
      <c r="C96" s="21"/>
      <c r="D96" s="21"/>
      <c r="E96" s="335" t="s">
        <v>87</v>
      </c>
      <c r="F96" s="335"/>
      <c r="G96" s="335"/>
      <c r="H96" s="335"/>
      <c r="I96" s="335"/>
      <c r="J96" s="335"/>
      <c r="K96" s="335"/>
      <c r="O96" s="21"/>
      <c r="P96" s="308"/>
    </row>
    <row r="97" spans="1:16" ht="36" x14ac:dyDescent="0.25">
      <c r="A97" s="21"/>
      <c r="B97" s="21"/>
      <c r="C97" s="21"/>
      <c r="D97" s="21"/>
      <c r="E97" s="48" t="s">
        <v>57</v>
      </c>
      <c r="F97" s="75" t="s">
        <v>38</v>
      </c>
      <c r="G97" s="76" t="s">
        <v>39</v>
      </c>
      <c r="H97" s="76" t="s">
        <v>40</v>
      </c>
      <c r="I97" s="76" t="s">
        <v>41</v>
      </c>
      <c r="J97" s="77" t="s">
        <v>42</v>
      </c>
      <c r="K97" s="51" t="s">
        <v>56</v>
      </c>
      <c r="O97" s="21"/>
      <c r="P97" s="308"/>
    </row>
    <row r="98" spans="1:16" x14ac:dyDescent="0.25">
      <c r="A98" s="21"/>
      <c r="B98" s="21"/>
      <c r="C98" s="21"/>
      <c r="D98" s="21"/>
      <c r="E98" s="52">
        <f>COUNTIF($E$4:$E$94, "Weekdays")</f>
        <v>42</v>
      </c>
      <c r="F98" s="59" t="s">
        <v>27</v>
      </c>
      <c r="G98" s="60">
        <f>AVERAGEIF($E$4:$E$94,"Weekdays",K4:K94)</f>
        <v>37.047577549184062</v>
      </c>
      <c r="H98" s="61">
        <f>G98*1.2</f>
        <v>44.45709305902087</v>
      </c>
      <c r="I98" s="62">
        <f>G98*1.35</f>
        <v>50.014229691398491</v>
      </c>
      <c r="J98" s="63">
        <f>G98*1.6</f>
        <v>59.276124078694501</v>
      </c>
      <c r="K98" s="58">
        <f>+SUMIF($E$4:$E$94,"Weekdays",$J$4:$J$94)/SUMIF($E$4:$E$94,"Weekdays",$H$4:$H$94)</f>
        <v>18.97097476489775</v>
      </c>
      <c r="O98" s="21"/>
      <c r="P98" s="308"/>
    </row>
    <row r="99" spans="1:16" x14ac:dyDescent="0.25">
      <c r="A99" s="21"/>
      <c r="B99" s="21"/>
      <c r="C99" s="21"/>
      <c r="D99" s="21"/>
      <c r="E99" s="52">
        <f>COUNTIF($E$4:$E$94, "Saturdays")</f>
        <v>28</v>
      </c>
      <c r="F99" s="59" t="s">
        <v>59</v>
      </c>
      <c r="G99" s="60">
        <f>AVERAGEIF($E$4:$E$94,"Saturdays",K4:K94)</f>
        <v>29.022400157534172</v>
      </c>
      <c r="H99" s="61">
        <f>G99*1.2</f>
        <v>34.826880189041006</v>
      </c>
      <c r="I99" s="62">
        <f>G99*1.35</f>
        <v>39.180240212671137</v>
      </c>
      <c r="J99" s="63">
        <f>G99*1.6</f>
        <v>46.435840252054675</v>
      </c>
      <c r="K99" s="58">
        <f>+SUMIF($E$4:$E$94,"saturdays",$J$4:$J$94)/SUMIF($E$4:$E$94,"saturdays",$H$4:$H$94)</f>
        <v>20.240770921683918</v>
      </c>
      <c r="O99" s="21"/>
      <c r="P99" s="308"/>
    </row>
    <row r="100" spans="1:16" ht="15.75" thickBot="1" x14ac:dyDescent="0.3">
      <c r="A100" s="21"/>
      <c r="B100" s="21"/>
      <c r="C100" s="21"/>
      <c r="D100" s="21"/>
      <c r="E100" s="64">
        <f>COUNTIF($E$4:$E$94, "Sundays")</f>
        <v>21</v>
      </c>
      <c r="F100" s="59" t="s">
        <v>60</v>
      </c>
      <c r="G100" s="78">
        <f>AVERAGEIF($E$4:$E$94,"Sundays",K4:K94)</f>
        <v>39.463935093920234</v>
      </c>
      <c r="H100" s="61">
        <f>G100*1.2</f>
        <v>47.356722112704283</v>
      </c>
      <c r="I100" s="62">
        <f>G100*1.35</f>
        <v>53.276312376792319</v>
      </c>
      <c r="J100" s="63">
        <f>G100*1.6</f>
        <v>63.142296150272379</v>
      </c>
      <c r="K100" s="74">
        <f>+SUMIF($E$4:$E$94,"Sundays",$J$4:$J$94)/SUMIF($E$4:$E$94,"Sundays",$H$4:$H$94)</f>
        <v>24.693456055653272</v>
      </c>
      <c r="O100" s="21"/>
      <c r="P100" s="308"/>
    </row>
    <row r="101" spans="1:16" ht="15.75" thickBot="1" x14ac:dyDescent="0.3">
      <c r="A101" s="21"/>
      <c r="B101" s="21"/>
      <c r="C101" s="21"/>
      <c r="D101" s="21"/>
      <c r="E101" s="21"/>
      <c r="F101" s="70" t="s">
        <v>55</v>
      </c>
      <c r="G101" s="71">
        <v>10</v>
      </c>
      <c r="H101" s="72"/>
      <c r="I101" s="72"/>
      <c r="J101" s="73"/>
      <c r="K101" s="74">
        <f>+SUM($J$4:$J$94)/SUM($H$4:$H$94)</f>
        <v>19.529898063505726</v>
      </c>
      <c r="O101" s="21"/>
      <c r="P101" s="308"/>
    </row>
    <row r="102" spans="1:16" ht="15.75" thickBot="1" x14ac:dyDescent="0.3">
      <c r="E102" s="337" t="s">
        <v>86</v>
      </c>
      <c r="F102" s="337"/>
      <c r="G102" s="337"/>
      <c r="H102" s="337"/>
      <c r="I102" s="337"/>
      <c r="J102" s="337"/>
      <c r="K102" s="337"/>
    </row>
    <row r="103" spans="1:16" ht="36" x14ac:dyDescent="0.25">
      <c r="E103" s="141"/>
      <c r="F103" s="48" t="s">
        <v>38</v>
      </c>
      <c r="G103" s="49" t="s">
        <v>39</v>
      </c>
      <c r="H103" s="49" t="s">
        <v>40</v>
      </c>
      <c r="I103" s="49" t="s">
        <v>41</v>
      </c>
      <c r="J103" s="50" t="s">
        <v>42</v>
      </c>
      <c r="K103" s="51" t="s">
        <v>56</v>
      </c>
    </row>
    <row r="104" spans="1:16" x14ac:dyDescent="0.25">
      <c r="E104" s="142"/>
      <c r="F104" s="53" t="s">
        <v>27</v>
      </c>
      <c r="G104" s="122">
        <f>AVERAGEIF($E$4:$E$94,"Weekdays",$M$4:$M$94)</f>
        <v>6.7229310899631259E-2</v>
      </c>
      <c r="H104" s="123">
        <f>G104*0.8</f>
        <v>5.3783448719705008E-2</v>
      </c>
      <c r="I104" s="124">
        <f>G104*0.65</f>
        <v>4.3699052084760319E-2</v>
      </c>
      <c r="J104" s="125">
        <f>G104*0.4</f>
        <v>2.6891724359852504E-2</v>
      </c>
      <c r="K104" s="130">
        <f>+SUMIF($E$4:$E$94,"Weekdays",$G$4:$G$94)/SUMIF($E$4:$E$94,"Weekdays",$F$4:$F$94)</f>
        <v>6.2734268291352605E-2</v>
      </c>
    </row>
    <row r="105" spans="1:16" x14ac:dyDescent="0.25">
      <c r="E105" s="142"/>
      <c r="F105" s="59" t="s">
        <v>59</v>
      </c>
      <c r="G105" s="126">
        <f>AVERAGEIF($E$4:$E$94,"Saturdays",$M$4:$M$94)</f>
        <v>5.8099062060995306E-2</v>
      </c>
      <c r="H105" s="127">
        <f>G105*0.8</f>
        <v>4.6479249648796246E-2</v>
      </c>
      <c r="I105" s="128">
        <f>G105*0.65</f>
        <v>3.7764390339646951E-2</v>
      </c>
      <c r="J105" s="129">
        <f>G105*0.4</f>
        <v>2.3239624824398123E-2</v>
      </c>
      <c r="K105" s="130">
        <f>+SUMIF($E$4:$E$94,"Saturdays",$G$4:$G$94)/SUMIF($E$4:$E$94,"Saturdays",$F$4:$F$94)</f>
        <v>5.4132644577740197E-2</v>
      </c>
    </row>
    <row r="106" spans="1:16" x14ac:dyDescent="0.25">
      <c r="E106" s="142"/>
      <c r="F106" s="65" t="s">
        <v>60</v>
      </c>
      <c r="G106" s="137">
        <f>AVERAGEIF($E$4:$E$94,"Sundays",$M$4:$M$94)</f>
        <v>4.6703334304455398E-2</v>
      </c>
      <c r="H106" s="138">
        <f>G106*0.8</f>
        <v>3.7362667443564319E-2</v>
      </c>
      <c r="I106" s="139">
        <f>G106*0.65</f>
        <v>3.0357167297896011E-2</v>
      </c>
      <c r="J106" s="140">
        <f>G106*0.4</f>
        <v>1.868133372178216E-2</v>
      </c>
      <c r="K106" s="130">
        <f>+SUMIF($E$4:$E$94,"Sundays",$G$4:$G$94)/SUMIF($E$4:$E$94,"Sundays",$F$4:$F$94)</f>
        <v>4.4205280254771363E-2</v>
      </c>
    </row>
    <row r="107" spans="1:16" ht="15.75" thickBot="1" x14ac:dyDescent="0.3">
      <c r="E107" s="43"/>
      <c r="F107" s="84" t="s">
        <v>89</v>
      </c>
      <c r="G107" s="132">
        <f>AVERAGE(M:M)</f>
        <v>5.9683239735010378E-2</v>
      </c>
      <c r="H107" s="133">
        <f>G107*0.8</f>
        <v>4.7746591788008302E-2</v>
      </c>
      <c r="I107" s="134">
        <f>G107*0.65</f>
        <v>3.8794105827756747E-2</v>
      </c>
      <c r="J107" s="135">
        <f>G107*0.4</f>
        <v>2.3873295894004151E-2</v>
      </c>
      <c r="K107" s="131">
        <f>+SUM($G$4:$G$94)/SUM($F$4:$F$94)</f>
        <v>6.0099142453520597E-2</v>
      </c>
    </row>
  </sheetData>
  <autoFilter ref="A3:P94" xr:uid="{A7699148-0E12-4E72-99D8-E08F9F3D27D6}">
    <sortState xmlns:xlrd2="http://schemas.microsoft.com/office/spreadsheetml/2017/richdata2" ref="A4:P94">
      <sortCondition descending="1" ref="E4:E94"/>
      <sortCondition ref="B4:B94"/>
    </sortState>
  </autoFilter>
  <sortState xmlns:xlrd2="http://schemas.microsoft.com/office/spreadsheetml/2017/richdata2" ref="A4:P93">
    <sortCondition ref="E4:E93" customList="Weekday,Wk,Saturday,Sat,Sunday,Sun,Sunday/Holiday,Sunday / Holiday,Reduced"/>
    <sortCondition ref="B4:B93"/>
  </sortState>
  <mergeCells count="3">
    <mergeCell ref="A2:P2"/>
    <mergeCell ref="E96:K96"/>
    <mergeCell ref="E102:K102"/>
  </mergeCells>
  <conditionalFormatting sqref="A4:I59">
    <cfRule type="expression" dxfId="50" priority="11">
      <formula>(ROW(A4)-1)/3=ROUND((ROW(A4)-1)/3,0)</formula>
    </cfRule>
  </conditionalFormatting>
  <conditionalFormatting sqref="L1 L4:L94">
    <cfRule type="cellIs" dxfId="49" priority="17" operator="greaterThan">
      <formula>1.6</formula>
    </cfRule>
  </conditionalFormatting>
  <conditionalFormatting sqref="L4:L94">
    <cfRule type="cellIs" dxfId="48" priority="15" operator="between">
      <formula>1.35</formula>
      <formula>1.6</formula>
    </cfRule>
    <cfRule type="cellIs" dxfId="47" priority="16" operator="between">
      <formula>1.2</formula>
      <formula>1.35</formula>
    </cfRule>
  </conditionalFormatting>
  <conditionalFormatting sqref="N4:N94">
    <cfRule type="cellIs" dxfId="46" priority="1" operator="lessThan">
      <formula>0.4</formula>
    </cfRule>
    <cfRule type="cellIs" dxfId="45" priority="2" operator="between">
      <formula>0.65</formula>
      <formula>0.4</formula>
    </cfRule>
    <cfRule type="cellIs" dxfId="44" priority="3" operator="between">
      <formula>0.8</formula>
      <formula>0.65</formula>
    </cfRule>
  </conditionalFormatting>
  <conditionalFormatting sqref="O4:O94">
    <cfRule type="cellIs" dxfId="43" priority="43" operator="lessThan">
      <formula>10</formula>
    </cfRule>
  </conditionalFormatting>
  <conditionalFormatting sqref="P44:P59">
    <cfRule type="expression" dxfId="42" priority="10">
      <formula>(ROW(P44)-1)/3=ROUND((ROW(P44)-1)/3,0)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E87BB-8D16-4B1E-AAF0-49890808CA53}">
  <dimension ref="A1:T94"/>
  <sheetViews>
    <sheetView zoomScale="80" zoomScaleNormal="80" workbookViewId="0">
      <selection activeCell="D16" sqref="D16"/>
    </sheetView>
  </sheetViews>
  <sheetFormatPr defaultRowHeight="15" x14ac:dyDescent="0.25"/>
  <cols>
    <col min="1" max="1" width="25.5703125" bestFit="1" customWidth="1"/>
    <col min="2" max="2" width="9.42578125" customWidth="1"/>
    <col min="3" max="3" width="8.7109375" customWidth="1"/>
    <col min="4" max="4" width="20.7109375" customWidth="1"/>
    <col min="5" max="5" width="10.7109375" customWidth="1"/>
    <col min="6" max="6" width="12.7109375" bestFit="1" customWidth="1"/>
    <col min="7" max="7" width="15.140625" bestFit="1" customWidth="1"/>
    <col min="8" max="8" width="12.7109375" bestFit="1" customWidth="1"/>
    <col min="9" max="9" width="14.42578125" customWidth="1"/>
    <col min="10" max="10" width="12.7109375" customWidth="1"/>
    <col min="11" max="11" width="11.7109375" customWidth="1"/>
    <col min="12" max="14" width="14.140625" customWidth="1"/>
    <col min="15" max="15" width="13.42578125" customWidth="1"/>
    <col min="16" max="16" width="35.7109375" customWidth="1"/>
    <col min="17" max="17" width="14.7109375" bestFit="1" customWidth="1"/>
    <col min="18" max="18" width="13.7109375" bestFit="1" customWidth="1"/>
  </cols>
  <sheetData>
    <row r="1" spans="1:20" ht="22.5" x14ac:dyDescent="0.45">
      <c r="A1" s="13" t="s">
        <v>46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O1" s="14"/>
      <c r="P1" s="14"/>
    </row>
    <row r="2" spans="1:20" ht="37.5" thickBot="1" x14ac:dyDescent="0.75">
      <c r="A2" s="333" t="s">
        <v>94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7"/>
    </row>
    <row r="3" spans="1:20" s="6" customFormat="1" ht="75" x14ac:dyDescent="0.25">
      <c r="A3" s="44" t="s">
        <v>7</v>
      </c>
      <c r="B3" s="45" t="s">
        <v>65</v>
      </c>
      <c r="C3" s="38" t="s">
        <v>66</v>
      </c>
      <c r="D3" s="38" t="s">
        <v>0</v>
      </c>
      <c r="E3" s="39" t="s">
        <v>1</v>
      </c>
      <c r="F3" s="39" t="s">
        <v>2</v>
      </c>
      <c r="G3" s="39" t="s">
        <v>32</v>
      </c>
      <c r="H3" s="40" t="s">
        <v>34</v>
      </c>
      <c r="I3" s="40" t="s">
        <v>58</v>
      </c>
      <c r="J3" s="41" t="s">
        <v>33</v>
      </c>
      <c r="K3" s="42" t="s">
        <v>13</v>
      </c>
      <c r="L3" s="42" t="s">
        <v>64</v>
      </c>
      <c r="M3" s="120" t="s">
        <v>86</v>
      </c>
      <c r="N3" s="120" t="s">
        <v>88</v>
      </c>
      <c r="O3" s="38" t="s">
        <v>36</v>
      </c>
      <c r="P3" s="148" t="s">
        <v>37</v>
      </c>
    </row>
    <row r="4" spans="1:20" x14ac:dyDescent="0.25">
      <c r="A4" s="184" t="s">
        <v>117</v>
      </c>
      <c r="B4" s="176">
        <v>921</v>
      </c>
      <c r="C4" s="176" t="s">
        <v>70</v>
      </c>
      <c r="D4" s="177" t="s">
        <v>47</v>
      </c>
      <c r="E4" s="176" t="s">
        <v>27</v>
      </c>
      <c r="F4" s="185">
        <v>8355667.4199999999</v>
      </c>
      <c r="G4" s="178">
        <v>625895.6</v>
      </c>
      <c r="H4" s="186">
        <v>954098</v>
      </c>
      <c r="I4" s="187">
        <v>24168.7</v>
      </c>
      <c r="J4" s="185">
        <f>F4-G4</f>
        <v>7729771.8200000003</v>
      </c>
      <c r="K4" s="180">
        <f>J4/H4</f>
        <v>8.1016539391131737</v>
      </c>
      <c r="L4" s="181">
        <f>+IF(E4="Weekdays",K4/$G$16,IF(E4="Saturdays",K4/$G$17,IF(E4="Sundays",K4/$G$18, "NA")))</f>
        <v>1.2472157898685461</v>
      </c>
      <c r="M4" s="181">
        <f>(G4/F4)</f>
        <v>7.4906715231612214E-2</v>
      </c>
      <c r="N4" s="181">
        <f>+IF(E4="Weekdays",M4/$G$22,IF(E4="Saturdays",M4/$G$23,IF(E4="Sundays",M4/$G$24,"NA")))</f>
        <v>1.315844822568097</v>
      </c>
      <c r="O4" s="243">
        <f>H4/I4</f>
        <v>39.476595762287587</v>
      </c>
      <c r="P4" s="82"/>
    </row>
    <row r="5" spans="1:20" ht="15.75" customHeight="1" x14ac:dyDescent="0.25">
      <c r="A5" s="184" t="s">
        <v>117</v>
      </c>
      <c r="B5" s="176">
        <v>923</v>
      </c>
      <c r="C5" s="176" t="s">
        <v>71</v>
      </c>
      <c r="D5" s="177" t="s">
        <v>47</v>
      </c>
      <c r="E5" s="176" t="s">
        <v>27</v>
      </c>
      <c r="F5" s="185">
        <v>9492992.5399999991</v>
      </c>
      <c r="G5" s="185">
        <v>545985.87</v>
      </c>
      <c r="H5" s="186">
        <v>1431703</v>
      </c>
      <c r="I5" s="187">
        <v>30511.75</v>
      </c>
      <c r="J5" s="185">
        <f>F5-G5</f>
        <v>8947006.6699999999</v>
      </c>
      <c r="K5" s="180">
        <f>J5/H5</f>
        <v>6.2492057849987042</v>
      </c>
      <c r="L5" s="181">
        <f>+IF(E5="Weekdays",K5/$G$16,IF(E5="Saturdays",K5/$G$17,IF(E5="Sundays",K5/$G$18, "NA")))</f>
        <v>0.9620391327207698</v>
      </c>
      <c r="M5" s="181">
        <f>G5/F5</f>
        <v>5.751462120078734E-2</v>
      </c>
      <c r="N5" s="181">
        <f>+IF(E5="Weekdays",M5/$G$22,IF(E5="Saturdays",M5/$G$23,IF(E5="Sundays",M5/$G$24,"NA")))</f>
        <v>1.0103275293145233</v>
      </c>
      <c r="O5" s="243">
        <f>H5/I5</f>
        <v>46.923005071816597</v>
      </c>
      <c r="P5" s="82"/>
    </row>
    <row r="6" spans="1:20" x14ac:dyDescent="0.25">
      <c r="A6" s="184" t="s">
        <v>117</v>
      </c>
      <c r="B6" s="176">
        <v>924</v>
      </c>
      <c r="C6" s="176" t="s">
        <v>72</v>
      </c>
      <c r="D6" s="177" t="s">
        <v>47</v>
      </c>
      <c r="E6" s="176" t="s">
        <v>27</v>
      </c>
      <c r="F6" s="185">
        <v>18595971.940000001</v>
      </c>
      <c r="G6" s="185">
        <v>713318.99</v>
      </c>
      <c r="H6" s="186">
        <v>3481475.66</v>
      </c>
      <c r="I6" s="187">
        <v>63579.25</v>
      </c>
      <c r="J6" s="185">
        <f>F6-G6</f>
        <v>17882652.950000003</v>
      </c>
      <c r="K6" s="180">
        <f>J6/H6</f>
        <v>5.136515287313542</v>
      </c>
      <c r="L6" s="181">
        <f>+IF(E6="Weekdays",K6/$G$16,IF(E6="Saturdays",K6/$G$17,IF(E6="Sundays",K6/$G$18, "NA")))</f>
        <v>0.79074507741068423</v>
      </c>
      <c r="M6" s="244">
        <f>G6/F6</f>
        <v>3.8358790403724384E-2</v>
      </c>
      <c r="N6" s="181">
        <f>+IF(E6="Weekdays",M6/$G$22,IF(E6="Saturdays",M6/$G$23,IF(E6="Sundays",M6/$G$24,"NA")))</f>
        <v>0.67382764811737939</v>
      </c>
      <c r="O6" s="243">
        <f>H6/I6</f>
        <v>54.75804857716944</v>
      </c>
      <c r="P6" s="82"/>
    </row>
    <row r="7" spans="1:20" x14ac:dyDescent="0.25">
      <c r="A7" s="184" t="s">
        <v>117</v>
      </c>
      <c r="B7" s="176">
        <v>921</v>
      </c>
      <c r="C7" s="176" t="s">
        <v>70</v>
      </c>
      <c r="D7" s="177" t="s">
        <v>47</v>
      </c>
      <c r="E7" s="176" t="s">
        <v>60</v>
      </c>
      <c r="F7" s="185">
        <v>1437850.67</v>
      </c>
      <c r="G7" s="185">
        <v>96348.78</v>
      </c>
      <c r="H7" s="186">
        <v>169640</v>
      </c>
      <c r="I7" s="187">
        <v>4148.91</v>
      </c>
      <c r="J7" s="185">
        <f>F7-G7</f>
        <v>1341501.8899999999</v>
      </c>
      <c r="K7" s="180">
        <f>J7/H7</f>
        <v>7.9079338009903317</v>
      </c>
      <c r="L7" s="181">
        <f>+IF(E7="Weekdays",K7/$G$16,IF(E7="Saturdays",K7/$G$17,IF(E7="Sundays",K7/$G$18, "NA")))</f>
        <v>1.0182445160659308</v>
      </c>
      <c r="M7" s="181">
        <f>G7/F7</f>
        <v>6.7008891820455885E-2</v>
      </c>
      <c r="N7" s="181">
        <f>+IF(E7="Weekdays",M7/$G$22,IF(E7="Saturdays",M7/$G$23,IF(E7="Sundays",M7/$G$24,"NA")))</f>
        <v>1.6473046282991932</v>
      </c>
      <c r="O7" s="243">
        <f>H7/I7</f>
        <v>40.887847651551851</v>
      </c>
      <c r="P7" s="82"/>
    </row>
    <row r="8" spans="1:20" x14ac:dyDescent="0.25">
      <c r="A8" s="184" t="s">
        <v>117</v>
      </c>
      <c r="B8" s="176">
        <v>923</v>
      </c>
      <c r="C8" s="176" t="s">
        <v>71</v>
      </c>
      <c r="D8" s="177" t="s">
        <v>47</v>
      </c>
      <c r="E8" s="176" t="s">
        <v>60</v>
      </c>
      <c r="F8" s="185">
        <v>1930062.66</v>
      </c>
      <c r="G8" s="185">
        <v>55605.37</v>
      </c>
      <c r="H8" s="228">
        <v>207580</v>
      </c>
      <c r="I8" s="187">
        <v>5850.13</v>
      </c>
      <c r="J8" s="185">
        <f>F8-G8</f>
        <v>1874457.2899999998</v>
      </c>
      <c r="K8" s="180">
        <f>J8/H8</f>
        <v>9.030047644281721</v>
      </c>
      <c r="L8" s="181">
        <f>+IF(E8="Weekdays",K8/$G$16,IF(E8="Saturdays",K8/$G$17,IF(E8="Sundays",K8/$G$18, "NA")))</f>
        <v>1.1627305848782461</v>
      </c>
      <c r="M8" s="181">
        <f>G8/F8</f>
        <v>2.8810137179691362E-2</v>
      </c>
      <c r="N8" s="181">
        <f>+IF(E8="Weekdays",M8/$G$22,IF(E8="Saturdays",M8/$G$23,IF(E8="Sundays",M8/$G$24,"NA")))</f>
        <v>0.7082503684018896</v>
      </c>
      <c r="O8" s="243">
        <f>H8/I8</f>
        <v>35.482972173267946</v>
      </c>
      <c r="P8" s="83"/>
    </row>
    <row r="9" spans="1:20" x14ac:dyDescent="0.25">
      <c r="A9" s="184" t="s">
        <v>117</v>
      </c>
      <c r="B9" s="342">
        <v>924</v>
      </c>
      <c r="C9" s="342" t="s">
        <v>72</v>
      </c>
      <c r="D9" s="341" t="s">
        <v>47</v>
      </c>
      <c r="E9" s="342" t="s">
        <v>60</v>
      </c>
      <c r="F9" s="343">
        <v>3716794.98</v>
      </c>
      <c r="G9" s="343">
        <v>97434.55</v>
      </c>
      <c r="H9" s="344">
        <v>569015.09</v>
      </c>
      <c r="I9" s="345">
        <v>12755.87</v>
      </c>
      <c r="J9" s="343">
        <f>F9-G9</f>
        <v>3619360.43</v>
      </c>
      <c r="K9" s="346">
        <f>J9/H9</f>
        <v>6.3607459513947164</v>
      </c>
      <c r="L9" s="181">
        <f>+IF(E9="Weekdays",K9/$G$16,IF(E9="Saturdays",K9/$G$17,IF(E9="Sundays",K9/$G$18, "NA")))</f>
        <v>0.81902489905582354</v>
      </c>
      <c r="M9" s="244">
        <f>G9/F9</f>
        <v>2.6214668961912987E-2</v>
      </c>
      <c r="N9" s="181">
        <f>+IF(E9="Weekdays",M9/$G$22,IF(E9="Saturdays",M9/$G$23,IF(E9="Sundays",M9/$G$24,"NA")))</f>
        <v>0.64444500329891707</v>
      </c>
      <c r="O9" s="350">
        <f>H9/I9</f>
        <v>44.608097291678256</v>
      </c>
      <c r="P9" s="82"/>
      <c r="Q9" s="2"/>
      <c r="S9" s="2"/>
      <c r="T9" s="2"/>
    </row>
    <row r="10" spans="1:20" x14ac:dyDescent="0.25">
      <c r="A10" s="184" t="s">
        <v>117</v>
      </c>
      <c r="B10" s="176">
        <v>921</v>
      </c>
      <c r="C10" s="176" t="s">
        <v>70</v>
      </c>
      <c r="D10" s="177" t="s">
        <v>47</v>
      </c>
      <c r="E10" s="176" t="s">
        <v>59</v>
      </c>
      <c r="F10" s="185">
        <v>1366322.94</v>
      </c>
      <c r="G10" s="185">
        <v>108654.62</v>
      </c>
      <c r="H10" s="186">
        <v>167741</v>
      </c>
      <c r="I10" s="187">
        <v>3963.16</v>
      </c>
      <c r="J10" s="185">
        <f>F10-G10</f>
        <v>1257668.3199999998</v>
      </c>
      <c r="K10" s="180">
        <f>J10/H10</f>
        <v>7.4976798755223815</v>
      </c>
      <c r="L10" s="181">
        <f>+IF(E10="Weekdays",K10/$G$16,IF(E10="Saturdays",K10/$G$17,IF(E10="Sundays",K10/$G$18, "NA")))</f>
        <v>1.057065119310008</v>
      </c>
      <c r="M10" s="181">
        <f>G10/F10</f>
        <v>7.9523381200055088E-2</v>
      </c>
      <c r="N10" s="181">
        <f>+IF(E10="Weekdays",M10/$G$22,IF(E10="Saturdays",M10/$G$23,IF(E10="Sundays",M10/$G$24,"NA")))</f>
        <v>1.6817272879615226</v>
      </c>
      <c r="O10" s="243">
        <f>H10/I10</f>
        <v>42.325063837947496</v>
      </c>
      <c r="P10" s="82"/>
      <c r="Q10" s="8"/>
      <c r="S10" s="8"/>
      <c r="T10" s="10"/>
    </row>
    <row r="11" spans="1:20" x14ac:dyDescent="0.25">
      <c r="A11" s="184" t="s">
        <v>117</v>
      </c>
      <c r="B11" s="176">
        <v>923</v>
      </c>
      <c r="C11" s="176" t="s">
        <v>71</v>
      </c>
      <c r="D11" s="177" t="s">
        <v>47</v>
      </c>
      <c r="E11" s="176" t="s">
        <v>59</v>
      </c>
      <c r="F11" s="185">
        <v>1749050.83</v>
      </c>
      <c r="G11" s="185">
        <v>59347.58</v>
      </c>
      <c r="H11" s="186">
        <v>212624</v>
      </c>
      <c r="I11" s="187">
        <v>5384.42</v>
      </c>
      <c r="J11" s="185">
        <f>F11-G11</f>
        <v>1689703.25</v>
      </c>
      <c r="K11" s="180">
        <f>J11/H11</f>
        <v>7.9469074516517422</v>
      </c>
      <c r="L11" s="181">
        <f>+IF(E11="Weekdays",K11/$G$16,IF(E11="Saturdays",K11/$G$17,IF(E11="Sundays",K11/$G$18, "NA")))</f>
        <v>1.1203997520553737</v>
      </c>
      <c r="M11" s="244">
        <f>G11/F11</f>
        <v>3.3931306616171927E-2</v>
      </c>
      <c r="N11" s="181">
        <f>+IF(E11="Weekdays",M11/$G$22,IF(E11="Saturdays",M11/$G$23,IF(E11="Sundays",M11/$G$24,"NA")))</f>
        <v>0.71756511596323014</v>
      </c>
      <c r="O11" s="243">
        <f>H11/I11</f>
        <v>39.488747163111348</v>
      </c>
      <c r="P11" s="82"/>
      <c r="Q11" s="8"/>
      <c r="S11" s="8"/>
      <c r="T11" s="10"/>
    </row>
    <row r="12" spans="1:20" ht="15.75" thickBot="1" x14ac:dyDescent="0.3">
      <c r="A12" s="237" t="s">
        <v>117</v>
      </c>
      <c r="B12" s="238">
        <v>924</v>
      </c>
      <c r="C12" s="238" t="s">
        <v>72</v>
      </c>
      <c r="D12" s="239" t="s">
        <v>47</v>
      </c>
      <c r="E12" s="238" t="s">
        <v>59</v>
      </c>
      <c r="F12" s="240">
        <v>3504441.08</v>
      </c>
      <c r="G12" s="240">
        <v>99545.39</v>
      </c>
      <c r="H12" s="241">
        <v>583611.99</v>
      </c>
      <c r="I12" s="242">
        <v>12139.55</v>
      </c>
      <c r="J12" s="240">
        <f>F12-G12</f>
        <v>3404895.69</v>
      </c>
      <c r="K12" s="206">
        <f>J12/H12</f>
        <v>5.8341770702826032</v>
      </c>
      <c r="L12" s="201">
        <f>+IF(E12="Weekdays",K12/$G$16,IF(E12="Saturdays",K12/$G$17,IF(E12="Sundays",K12/$G$18, "NA")))</f>
        <v>0.82253512863461864</v>
      </c>
      <c r="M12" s="245">
        <f>G12/F12</f>
        <v>2.8405496833178317E-2</v>
      </c>
      <c r="N12" s="201">
        <f>+IF(E12="Weekdays",M12/$G$22,IF(E12="Saturdays",M12/$G$23,IF(E12="Sundays",M12/$G$24,"NA")))</f>
        <v>0.60070759607524704</v>
      </c>
      <c r="O12" s="246">
        <f>H12/I12</f>
        <v>48.075257320081882</v>
      </c>
      <c r="P12" s="147"/>
      <c r="Q12" s="8"/>
      <c r="S12" s="8"/>
      <c r="T12" s="10"/>
    </row>
    <row r="13" spans="1:20" x14ac:dyDescent="0.25">
      <c r="A13" s="21"/>
      <c r="B13" s="21"/>
      <c r="C13" s="22"/>
      <c r="D13" s="21"/>
      <c r="E13" s="21"/>
      <c r="F13" s="23"/>
      <c r="G13" s="23"/>
      <c r="H13" s="23"/>
      <c r="I13" s="23"/>
      <c r="J13" s="23"/>
      <c r="K13" s="24"/>
      <c r="L13" s="47"/>
      <c r="M13" s="47"/>
      <c r="N13" s="47"/>
      <c r="O13" s="79"/>
      <c r="P13" s="21"/>
      <c r="Q13" s="8"/>
      <c r="R13" s="9"/>
      <c r="S13" s="8"/>
      <c r="T13" s="10"/>
    </row>
    <row r="14" spans="1:20" ht="15.75" thickBot="1" x14ac:dyDescent="0.3">
      <c r="A14" s="21"/>
      <c r="B14" s="21"/>
      <c r="C14" s="21"/>
      <c r="D14" s="21"/>
      <c r="E14" s="335" t="s">
        <v>87</v>
      </c>
      <c r="F14" s="335"/>
      <c r="G14" s="335"/>
      <c r="H14" s="335"/>
      <c r="I14" s="335"/>
      <c r="J14" s="335"/>
      <c r="K14" s="335"/>
      <c r="L14" s="21"/>
      <c r="M14" s="47"/>
      <c r="N14" s="47"/>
      <c r="O14" s="21"/>
      <c r="P14" s="21"/>
      <c r="Q14" s="8"/>
      <c r="R14" s="9"/>
      <c r="S14" s="8"/>
      <c r="T14" s="10"/>
    </row>
    <row r="15" spans="1:20" ht="36" x14ac:dyDescent="0.25">
      <c r="A15" s="21"/>
      <c r="B15" s="21"/>
      <c r="C15" s="21"/>
      <c r="D15" s="21"/>
      <c r="E15" s="48" t="s">
        <v>57</v>
      </c>
      <c r="F15" s="75" t="s">
        <v>38</v>
      </c>
      <c r="G15" s="76" t="s">
        <v>39</v>
      </c>
      <c r="H15" s="76" t="s">
        <v>40</v>
      </c>
      <c r="I15" s="76" t="s">
        <v>41</v>
      </c>
      <c r="J15" s="77" t="s">
        <v>42</v>
      </c>
      <c r="K15" s="51" t="s">
        <v>56</v>
      </c>
      <c r="L15" s="21"/>
      <c r="M15" s="47"/>
      <c r="N15" s="47"/>
      <c r="O15" s="21"/>
      <c r="P15" s="21"/>
      <c r="Q15" s="8"/>
      <c r="R15" s="9"/>
      <c r="S15" s="8"/>
    </row>
    <row r="16" spans="1:20" x14ac:dyDescent="0.25">
      <c r="A16" s="21"/>
      <c r="B16" s="21"/>
      <c r="C16" s="21"/>
      <c r="D16" s="21"/>
      <c r="E16" s="52">
        <f>COUNTIF($E$4:$E$12, "Weekdays")</f>
        <v>3</v>
      </c>
      <c r="F16" s="89" t="s">
        <v>6</v>
      </c>
      <c r="G16" s="90">
        <f>AVERAGEIF($E$4:$E$12,"Weekdays",K4:K12)</f>
        <v>6.4957916704751399</v>
      </c>
      <c r="H16" s="91">
        <f>G16*1.2</f>
        <v>7.7949500045701674</v>
      </c>
      <c r="I16" s="92">
        <f>G16*1.35</f>
        <v>8.7693187551414393</v>
      </c>
      <c r="J16" s="93">
        <f>G16*1.6</f>
        <v>10.393266672760225</v>
      </c>
      <c r="K16" s="58">
        <f>+SUMIF($E$4:$E$12,"Weekdays",$J$4:$J$12)/SUMIF($E$4:$E$12,"Weekdays",$H$4:$H$12)</f>
        <v>5.8901997370616579</v>
      </c>
      <c r="L16" s="21"/>
      <c r="M16" s="47"/>
      <c r="N16" s="47"/>
      <c r="O16" s="21"/>
      <c r="P16" s="21"/>
      <c r="Q16" s="8"/>
      <c r="R16" s="9"/>
      <c r="S16" s="8"/>
    </row>
    <row r="17" spans="1:16" x14ac:dyDescent="0.25">
      <c r="A17" s="21"/>
      <c r="B17" s="21"/>
      <c r="C17" s="21"/>
      <c r="D17" s="21"/>
      <c r="E17" s="52">
        <f>COUNTIF($E$4:$E$12, "Saturdays")</f>
        <v>3</v>
      </c>
      <c r="F17" s="89" t="s">
        <v>10</v>
      </c>
      <c r="G17" s="90">
        <f>AVERAGEIF($E$4:$E$12,"Saturdays",K4:K12)</f>
        <v>7.0929214658189084</v>
      </c>
      <c r="H17" s="91">
        <f>G17*1.2</f>
        <v>8.5115057589826897</v>
      </c>
      <c r="I17" s="92">
        <f>G17*1.35</f>
        <v>9.5754439788555263</v>
      </c>
      <c r="J17" s="93">
        <f>G17*1.6</f>
        <v>11.348674345310254</v>
      </c>
      <c r="K17" s="58">
        <f>+SUMIF($E$4:$E$12,"saturdays",$J$4:$J$12)/SUMIF($E$4:$E$12,"saturdays",$H$4:$H$12)</f>
        <v>6.5896461491264429</v>
      </c>
      <c r="L17" s="21"/>
      <c r="M17" s="47"/>
      <c r="N17" s="47"/>
      <c r="O17" s="21"/>
      <c r="P17" s="21"/>
    </row>
    <row r="18" spans="1:16" ht="15.75" thickBot="1" x14ac:dyDescent="0.3">
      <c r="A18" s="21"/>
      <c r="B18" s="21"/>
      <c r="C18" s="21"/>
      <c r="D18" s="21"/>
      <c r="E18" s="64">
        <f>COUNTIF($E$4:$E$12, "Sundays")</f>
        <v>3</v>
      </c>
      <c r="F18" s="89" t="s">
        <v>11</v>
      </c>
      <c r="G18" s="94">
        <f>AVERAGEIF($E$4:$E$12,"Sundays",K4:K12)</f>
        <v>7.7662424655555888</v>
      </c>
      <c r="H18" s="91">
        <f>G18*1.2</f>
        <v>9.319490958666707</v>
      </c>
      <c r="I18" s="92">
        <f>G18*1.35</f>
        <v>10.484427328500045</v>
      </c>
      <c r="J18" s="93">
        <f>G18*1.6</f>
        <v>12.425987944888943</v>
      </c>
      <c r="K18" s="74">
        <f>+SUMIF($E$4:$E$12,"Sundays",$J$4:$J$12)/SUMIF($E$4:$E$12,"Sundays",$H$4:$H$12)</f>
        <v>7.2237012580034419</v>
      </c>
      <c r="L18" s="21"/>
      <c r="M18" s="47"/>
      <c r="N18" s="47"/>
      <c r="O18" s="21"/>
      <c r="P18" s="21"/>
    </row>
    <row r="19" spans="1:16" ht="15.75" thickBot="1" x14ac:dyDescent="0.3">
      <c r="A19" s="21"/>
      <c r="B19" s="21"/>
      <c r="C19" s="21"/>
      <c r="D19" s="21"/>
      <c r="E19" s="21"/>
      <c r="F19" s="95" t="s">
        <v>55</v>
      </c>
      <c r="G19" s="71">
        <v>25</v>
      </c>
      <c r="H19" s="72"/>
      <c r="I19" s="72"/>
      <c r="J19" s="73"/>
      <c r="K19" s="74">
        <f>+SUM($J$4:$J$12)/SUM($H$4:$H$12)</f>
        <v>6.1391304965103686</v>
      </c>
      <c r="L19" s="21"/>
      <c r="M19" s="47"/>
      <c r="N19" s="47"/>
      <c r="O19" s="21"/>
      <c r="P19" s="21"/>
    </row>
    <row r="20" spans="1:16" ht="15.75" thickBot="1" x14ac:dyDescent="0.3">
      <c r="E20" s="337" t="s">
        <v>86</v>
      </c>
      <c r="F20" s="337"/>
      <c r="G20" s="337"/>
      <c r="H20" s="337"/>
      <c r="I20" s="337"/>
      <c r="J20" s="337"/>
      <c r="K20" s="337"/>
      <c r="M20" s="47"/>
      <c r="N20" s="47"/>
    </row>
    <row r="21" spans="1:16" ht="48" x14ac:dyDescent="0.25">
      <c r="E21" s="141"/>
      <c r="F21" s="48" t="s">
        <v>38</v>
      </c>
      <c r="G21" s="49" t="s">
        <v>39</v>
      </c>
      <c r="H21" s="49" t="s">
        <v>40</v>
      </c>
      <c r="I21" s="49" t="s">
        <v>41</v>
      </c>
      <c r="J21" s="50" t="s">
        <v>42</v>
      </c>
      <c r="K21" s="51" t="s">
        <v>56</v>
      </c>
      <c r="M21" s="47"/>
      <c r="N21" s="47"/>
    </row>
    <row r="22" spans="1:16" x14ac:dyDescent="0.25">
      <c r="E22" s="142"/>
      <c r="F22" s="53" t="s">
        <v>27</v>
      </c>
      <c r="G22" s="122">
        <f>AVERAGEIF($E$4:$E$94,"Weekdays",$M$4:$M$94)</f>
        <v>5.6926708945374653E-2</v>
      </c>
      <c r="H22" s="123">
        <f>G22*0.8</f>
        <v>4.5541367156299722E-2</v>
      </c>
      <c r="I22" s="124">
        <f>G22*0.65</f>
        <v>3.7002360814493526E-2</v>
      </c>
      <c r="J22" s="125">
        <f>G22*0.4</f>
        <v>2.2770683578149861E-2</v>
      </c>
      <c r="K22" s="130">
        <f>+SUMIF($E$4:$E$94,"Weekdays",$G$4:$G$94)/SUMIF($E$4:$E$94,"Weekdays",$F$4:$F$94)</f>
        <v>5.1727795335477091E-2</v>
      </c>
      <c r="M22" s="47"/>
      <c r="N22" s="47"/>
    </row>
    <row r="23" spans="1:16" x14ac:dyDescent="0.25">
      <c r="E23" s="142"/>
      <c r="F23" s="59" t="s">
        <v>59</v>
      </c>
      <c r="G23" s="126">
        <f>AVERAGEIF($E$4:$E$94,"Saturdays",$M$4:$M$94)</f>
        <v>4.7286728216468447E-2</v>
      </c>
      <c r="H23" s="127">
        <f>G23*0.8</f>
        <v>3.7829382573174759E-2</v>
      </c>
      <c r="I23" s="128">
        <f>G23*0.65</f>
        <v>3.0736373340704493E-2</v>
      </c>
      <c r="J23" s="129">
        <f>G23*0.4</f>
        <v>1.891469128658738E-2</v>
      </c>
      <c r="K23" s="130">
        <f>+SUMIF($E$4:$E$94,"Saturdays",$G$4:$G$94)/SUMIF($E$4:$E$94,"Saturdays",$F$4:$F$94)</f>
        <v>4.0416174177439423E-2</v>
      </c>
      <c r="M23" s="47"/>
      <c r="N23" s="47"/>
    </row>
    <row r="24" spans="1:16" x14ac:dyDescent="0.25">
      <c r="E24" s="142"/>
      <c r="F24" s="65" t="s">
        <v>60</v>
      </c>
      <c r="G24" s="137">
        <f>AVERAGEIF($E$4:$E$94,"Sundays",$M$4:$M$94)</f>
        <v>4.0677899320686745E-2</v>
      </c>
      <c r="H24" s="138">
        <f>G24*0.8</f>
        <v>3.2542319456549396E-2</v>
      </c>
      <c r="I24" s="139">
        <f>G24*0.65</f>
        <v>2.6440634558446384E-2</v>
      </c>
      <c r="J24" s="140">
        <f>G24*0.4</f>
        <v>1.6271159728274698E-2</v>
      </c>
      <c r="K24" s="130">
        <f>+SUMIF($E$4:$E$94,"Sundays",$G$4:$G$94)/SUMIF($E$4:$E$94,"Sundays",$F$4:$F$94)</f>
        <v>3.5200983454462077E-2</v>
      </c>
      <c r="M24" s="47"/>
      <c r="N24" s="47"/>
    </row>
    <row r="25" spans="1:16" ht="15.75" thickBot="1" x14ac:dyDescent="0.3">
      <c r="E25" s="43"/>
      <c r="F25" s="84" t="s">
        <v>89</v>
      </c>
      <c r="G25" s="132">
        <f>AVERAGE(M4:M12)</f>
        <v>4.8297112160843286E-2</v>
      </c>
      <c r="H25" s="133">
        <f>G25*0.8</f>
        <v>3.863768972867463E-2</v>
      </c>
      <c r="I25" s="134">
        <f>G25*0.65</f>
        <v>3.139312290454814E-2</v>
      </c>
      <c r="J25" s="135">
        <f>G25*0.4</f>
        <v>1.9318844864337315E-2</v>
      </c>
      <c r="K25" s="131">
        <f>+SUM($G$4:$G$94)/SUM($F$4:$F$94)</f>
        <v>4.7900773109138234E-2</v>
      </c>
      <c r="M25" s="47"/>
      <c r="N25" s="47"/>
    </row>
    <row r="26" spans="1:16" x14ac:dyDescent="0.25">
      <c r="M26" s="47"/>
      <c r="N26" s="47"/>
    </row>
    <row r="27" spans="1:16" x14ac:dyDescent="0.25">
      <c r="M27" s="47"/>
      <c r="N27" s="47"/>
    </row>
    <row r="28" spans="1:16" x14ac:dyDescent="0.25">
      <c r="M28" s="47"/>
      <c r="N28" s="47"/>
    </row>
    <row r="29" spans="1:16" x14ac:dyDescent="0.25">
      <c r="M29" s="47"/>
      <c r="N29" s="47"/>
    </row>
    <row r="30" spans="1:16" x14ac:dyDescent="0.25">
      <c r="M30" s="47"/>
      <c r="N30" s="47"/>
    </row>
    <row r="31" spans="1:16" x14ac:dyDescent="0.25">
      <c r="M31" s="47"/>
      <c r="N31" s="47"/>
    </row>
    <row r="32" spans="1:16" x14ac:dyDescent="0.25">
      <c r="M32" s="47"/>
      <c r="N32" s="47"/>
    </row>
    <row r="33" spans="13:14" x14ac:dyDescent="0.25">
      <c r="M33" s="47"/>
      <c r="N33" s="47"/>
    </row>
    <row r="34" spans="13:14" x14ac:dyDescent="0.25">
      <c r="M34" s="47"/>
      <c r="N34" s="47"/>
    </row>
    <row r="35" spans="13:14" x14ac:dyDescent="0.25">
      <c r="M35" s="47"/>
      <c r="N35" s="47"/>
    </row>
    <row r="36" spans="13:14" x14ac:dyDescent="0.25">
      <c r="M36" s="47"/>
      <c r="N36" s="47"/>
    </row>
    <row r="37" spans="13:14" x14ac:dyDescent="0.25">
      <c r="M37" s="47"/>
      <c r="N37" s="47"/>
    </row>
    <row r="38" spans="13:14" x14ac:dyDescent="0.25">
      <c r="M38" s="47"/>
      <c r="N38" s="47"/>
    </row>
    <row r="39" spans="13:14" x14ac:dyDescent="0.25">
      <c r="M39" s="47"/>
      <c r="N39" s="47"/>
    </row>
    <row r="40" spans="13:14" x14ac:dyDescent="0.25">
      <c r="M40" s="47"/>
      <c r="N40" s="47"/>
    </row>
    <row r="41" spans="13:14" x14ac:dyDescent="0.25">
      <c r="M41" s="47"/>
      <c r="N41" s="47"/>
    </row>
    <row r="42" spans="13:14" x14ac:dyDescent="0.25">
      <c r="M42" s="47"/>
      <c r="N42" s="47"/>
    </row>
    <row r="43" spans="13:14" x14ac:dyDescent="0.25">
      <c r="M43" s="47"/>
      <c r="N43" s="47"/>
    </row>
    <row r="44" spans="13:14" x14ac:dyDescent="0.25">
      <c r="M44" s="47"/>
      <c r="N44" s="47"/>
    </row>
    <row r="45" spans="13:14" x14ac:dyDescent="0.25">
      <c r="M45" s="47"/>
      <c r="N45" s="47"/>
    </row>
    <row r="46" spans="13:14" x14ac:dyDescent="0.25">
      <c r="M46" s="47"/>
      <c r="N46" s="47"/>
    </row>
    <row r="47" spans="13:14" x14ac:dyDescent="0.25">
      <c r="M47" s="47"/>
      <c r="N47" s="47"/>
    </row>
    <row r="48" spans="13:14" x14ac:dyDescent="0.25">
      <c r="M48" s="47"/>
      <c r="N48" s="47"/>
    </row>
    <row r="49" spans="13:14" x14ac:dyDescent="0.25">
      <c r="M49" s="47"/>
      <c r="N49" s="47"/>
    </row>
    <row r="50" spans="13:14" x14ac:dyDescent="0.25">
      <c r="M50" s="47"/>
      <c r="N50" s="47"/>
    </row>
    <row r="51" spans="13:14" x14ac:dyDescent="0.25">
      <c r="M51" s="47"/>
      <c r="N51" s="47"/>
    </row>
    <row r="52" spans="13:14" x14ac:dyDescent="0.25">
      <c r="M52" s="47"/>
      <c r="N52" s="47"/>
    </row>
    <row r="53" spans="13:14" x14ac:dyDescent="0.25">
      <c r="M53" s="47"/>
      <c r="N53" s="47"/>
    </row>
    <row r="54" spans="13:14" x14ac:dyDescent="0.25">
      <c r="M54" s="47"/>
      <c r="N54" s="47"/>
    </row>
    <row r="55" spans="13:14" x14ac:dyDescent="0.25">
      <c r="M55" s="47"/>
      <c r="N55" s="47"/>
    </row>
    <row r="56" spans="13:14" x14ac:dyDescent="0.25">
      <c r="M56" s="47"/>
      <c r="N56" s="47"/>
    </row>
    <row r="57" spans="13:14" x14ac:dyDescent="0.25">
      <c r="M57" s="47"/>
      <c r="N57" s="47"/>
    </row>
    <row r="58" spans="13:14" x14ac:dyDescent="0.25">
      <c r="M58" s="47"/>
      <c r="N58" s="47"/>
    </row>
    <row r="59" spans="13:14" x14ac:dyDescent="0.25">
      <c r="M59" s="47"/>
      <c r="N59" s="47"/>
    </row>
    <row r="60" spans="13:14" x14ac:dyDescent="0.25">
      <c r="M60" s="47"/>
      <c r="N60" s="47"/>
    </row>
    <row r="61" spans="13:14" x14ac:dyDescent="0.25">
      <c r="M61" s="47"/>
      <c r="N61" s="47"/>
    </row>
    <row r="62" spans="13:14" x14ac:dyDescent="0.25">
      <c r="M62" s="47"/>
      <c r="N62" s="47"/>
    </row>
    <row r="63" spans="13:14" x14ac:dyDescent="0.25">
      <c r="M63" s="47"/>
      <c r="N63" s="47"/>
    </row>
    <row r="64" spans="13:14" x14ac:dyDescent="0.25">
      <c r="M64" s="47"/>
      <c r="N64" s="47"/>
    </row>
    <row r="65" spans="13:14" x14ac:dyDescent="0.25">
      <c r="M65" s="47"/>
      <c r="N65" s="47"/>
    </row>
    <row r="66" spans="13:14" x14ac:dyDescent="0.25">
      <c r="M66" s="47"/>
      <c r="N66" s="47"/>
    </row>
    <row r="67" spans="13:14" x14ac:dyDescent="0.25">
      <c r="M67" s="47"/>
      <c r="N67" s="47"/>
    </row>
    <row r="68" spans="13:14" x14ac:dyDescent="0.25">
      <c r="M68" s="47"/>
      <c r="N68" s="47"/>
    </row>
    <row r="69" spans="13:14" x14ac:dyDescent="0.25">
      <c r="M69" s="47"/>
      <c r="N69" s="47"/>
    </row>
    <row r="70" spans="13:14" x14ac:dyDescent="0.25">
      <c r="M70" s="47"/>
      <c r="N70" s="47"/>
    </row>
    <row r="71" spans="13:14" x14ac:dyDescent="0.25">
      <c r="M71" s="47"/>
      <c r="N71" s="47"/>
    </row>
    <row r="72" spans="13:14" x14ac:dyDescent="0.25">
      <c r="M72" s="47"/>
      <c r="N72" s="47"/>
    </row>
    <row r="73" spans="13:14" x14ac:dyDescent="0.25">
      <c r="M73" s="47"/>
      <c r="N73" s="47"/>
    </row>
    <row r="74" spans="13:14" x14ac:dyDescent="0.25">
      <c r="M74" s="47"/>
      <c r="N74" s="47"/>
    </row>
    <row r="75" spans="13:14" x14ac:dyDescent="0.25">
      <c r="M75" s="47"/>
      <c r="N75" s="47"/>
    </row>
    <row r="76" spans="13:14" x14ac:dyDescent="0.25">
      <c r="M76" s="47"/>
      <c r="N76" s="47"/>
    </row>
    <row r="77" spans="13:14" x14ac:dyDescent="0.25">
      <c r="M77" s="47"/>
      <c r="N77" s="47"/>
    </row>
    <row r="78" spans="13:14" x14ac:dyDescent="0.25">
      <c r="M78" s="47"/>
      <c r="N78" s="47"/>
    </row>
    <row r="79" spans="13:14" x14ac:dyDescent="0.25">
      <c r="M79" s="47"/>
      <c r="N79" s="47"/>
    </row>
    <row r="80" spans="13:14" x14ac:dyDescent="0.25">
      <c r="M80" s="47"/>
      <c r="N80" s="47"/>
    </row>
    <row r="81" spans="13:14" x14ac:dyDescent="0.25">
      <c r="M81" s="47"/>
      <c r="N81" s="47"/>
    </row>
    <row r="82" spans="13:14" x14ac:dyDescent="0.25">
      <c r="M82" s="47"/>
      <c r="N82" s="47"/>
    </row>
    <row r="83" spans="13:14" x14ac:dyDescent="0.25">
      <c r="M83" s="47"/>
      <c r="N83" s="47"/>
    </row>
    <row r="84" spans="13:14" x14ac:dyDescent="0.25">
      <c r="M84" s="47"/>
      <c r="N84" s="47"/>
    </row>
    <row r="85" spans="13:14" x14ac:dyDescent="0.25">
      <c r="M85" s="47"/>
      <c r="N85" s="47"/>
    </row>
    <row r="86" spans="13:14" x14ac:dyDescent="0.25">
      <c r="M86" s="47"/>
      <c r="N86" s="47"/>
    </row>
    <row r="87" spans="13:14" x14ac:dyDescent="0.25">
      <c r="M87" s="47"/>
      <c r="N87" s="47"/>
    </row>
    <row r="88" spans="13:14" x14ac:dyDescent="0.25">
      <c r="M88" s="47"/>
      <c r="N88" s="47"/>
    </row>
    <row r="89" spans="13:14" x14ac:dyDescent="0.25">
      <c r="M89" s="47"/>
      <c r="N89" s="47"/>
    </row>
    <row r="90" spans="13:14" x14ac:dyDescent="0.25">
      <c r="M90" s="47"/>
      <c r="N90" s="47"/>
    </row>
    <row r="91" spans="13:14" x14ac:dyDescent="0.25">
      <c r="M91" s="47"/>
      <c r="N91" s="47"/>
    </row>
    <row r="92" spans="13:14" x14ac:dyDescent="0.25">
      <c r="M92" s="47"/>
      <c r="N92" s="47"/>
    </row>
    <row r="93" spans="13:14" x14ac:dyDescent="0.25">
      <c r="M93" s="47"/>
      <c r="N93" s="47"/>
    </row>
    <row r="94" spans="13:14" x14ac:dyDescent="0.25">
      <c r="M94" s="47"/>
      <c r="N94" s="47"/>
    </row>
  </sheetData>
  <autoFilter ref="A3:P12" xr:uid="{278E87BB-8D16-4B1E-AAF0-49890808CA53}">
    <sortState xmlns:xlrd2="http://schemas.microsoft.com/office/spreadsheetml/2017/richdata2" ref="A4:P12">
      <sortCondition descending="1" ref="E4:E12"/>
      <sortCondition ref="B4:B12"/>
    </sortState>
  </autoFilter>
  <sortState xmlns:xlrd2="http://schemas.microsoft.com/office/spreadsheetml/2017/richdata2" ref="A4:P12">
    <sortCondition ref="E4:E12" customList="Weekday,Wk,Saturday,Sat,Sunday,Sun,Sunday/Holiday,Sunday / Holiday,Reduced"/>
    <sortCondition ref="B4:B12"/>
  </sortState>
  <mergeCells count="3">
    <mergeCell ref="A2:O2"/>
    <mergeCell ref="E14:K14"/>
    <mergeCell ref="E20:K20"/>
  </mergeCells>
  <conditionalFormatting sqref="G4">
    <cfRule type="expression" dxfId="41" priority="14">
      <formula>(ROW(G4)-1)/3=ROUND((ROW(G4)-1)/3,0)</formula>
    </cfRule>
  </conditionalFormatting>
  <conditionalFormatting sqref="H4:I9">
    <cfRule type="expression" dxfId="40" priority="7">
      <formula>(ROW(H4)-1)/3=ROUND((ROW(H4)-1)/3,0)</formula>
    </cfRule>
  </conditionalFormatting>
  <conditionalFormatting sqref="L1">
    <cfRule type="cellIs" dxfId="39" priority="17" operator="greaterThan">
      <formula>1.6</formula>
    </cfRule>
  </conditionalFormatting>
  <conditionalFormatting sqref="N4:N12">
    <cfRule type="cellIs" dxfId="38" priority="1" operator="lessThan">
      <formula>0.4</formula>
    </cfRule>
    <cfRule type="cellIs" dxfId="37" priority="2" operator="between">
      <formula>0.65</formula>
      <formula>0.4</formula>
    </cfRule>
    <cfRule type="cellIs" dxfId="36" priority="3" operator="between">
      <formula>0.8</formula>
      <formula>0.65</formula>
    </cfRule>
  </conditionalFormatting>
  <conditionalFormatting sqref="O4:O12">
    <cfRule type="cellIs" dxfId="35" priority="24" operator="lessThan">
      <formula>$G$19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5A104-476E-4AB4-9F61-7DEA9C03266E}">
  <dimension ref="A1:R97"/>
  <sheetViews>
    <sheetView zoomScale="80" zoomScaleNormal="80" workbookViewId="0">
      <selection activeCell="O16" sqref="O16"/>
    </sheetView>
  </sheetViews>
  <sheetFormatPr defaultRowHeight="15" x14ac:dyDescent="0.25"/>
  <cols>
    <col min="1" max="1" width="24.85546875" customWidth="1"/>
    <col min="2" max="2" width="9.42578125" customWidth="1"/>
    <col min="3" max="3" width="11.85546875" customWidth="1"/>
    <col min="4" max="4" width="20.7109375" customWidth="1"/>
    <col min="5" max="5" width="10.7109375" customWidth="1"/>
    <col min="6" max="6" width="12.7109375" bestFit="1" customWidth="1"/>
    <col min="7" max="7" width="11.7109375" customWidth="1"/>
    <col min="8" max="8" width="15.140625" bestFit="1" customWidth="1"/>
    <col min="9" max="9" width="15.7109375" customWidth="1"/>
    <col min="10" max="11" width="11.7109375" customWidth="1"/>
    <col min="12" max="14" width="14.140625" customWidth="1"/>
    <col min="15" max="15" width="12.5703125" customWidth="1"/>
    <col min="16" max="16" width="50.5703125" customWidth="1"/>
    <col min="17" max="17" width="14.7109375" bestFit="1" customWidth="1"/>
    <col min="18" max="18" width="13.7109375" bestFit="1" customWidth="1"/>
  </cols>
  <sheetData>
    <row r="1" spans="1:18" ht="22.5" x14ac:dyDescent="0.45">
      <c r="A1" s="13" t="s">
        <v>48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O1" s="14"/>
      <c r="P1" s="14"/>
    </row>
    <row r="2" spans="1:18" ht="37.5" thickBot="1" x14ac:dyDescent="0.75">
      <c r="A2" s="333" t="s">
        <v>69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7"/>
    </row>
    <row r="3" spans="1:18" s="6" customFormat="1" ht="75.75" thickBot="1" x14ac:dyDescent="0.3">
      <c r="A3" s="44" t="s">
        <v>7</v>
      </c>
      <c r="B3" s="45" t="s">
        <v>65</v>
      </c>
      <c r="C3" s="38" t="s">
        <v>66</v>
      </c>
      <c r="D3" s="38" t="s">
        <v>0</v>
      </c>
      <c r="E3" s="39" t="s">
        <v>1</v>
      </c>
      <c r="F3" s="39" t="s">
        <v>2</v>
      </c>
      <c r="G3" s="39" t="s">
        <v>32</v>
      </c>
      <c r="H3" s="40" t="s">
        <v>34</v>
      </c>
      <c r="I3" s="40" t="s">
        <v>58</v>
      </c>
      <c r="J3" s="41" t="s">
        <v>33</v>
      </c>
      <c r="K3" s="42" t="s">
        <v>13</v>
      </c>
      <c r="L3" s="42" t="s">
        <v>64</v>
      </c>
      <c r="M3" s="149" t="s">
        <v>86</v>
      </c>
      <c r="N3" s="150" t="s">
        <v>88</v>
      </c>
      <c r="O3" s="46" t="s">
        <v>36</v>
      </c>
      <c r="P3" s="44" t="s">
        <v>37</v>
      </c>
    </row>
    <row r="4" spans="1:18" x14ac:dyDescent="0.25">
      <c r="A4" s="247" t="s">
        <v>117</v>
      </c>
      <c r="B4" s="248">
        <v>903</v>
      </c>
      <c r="C4" s="248" t="s">
        <v>68</v>
      </c>
      <c r="D4" s="249" t="s">
        <v>106</v>
      </c>
      <c r="E4" s="248" t="s">
        <v>27</v>
      </c>
      <c r="F4" s="250">
        <v>1780808</v>
      </c>
      <c r="G4" s="250">
        <v>53159</v>
      </c>
      <c r="H4" s="251">
        <v>108304</v>
      </c>
      <c r="I4" s="252">
        <v>6879.6</v>
      </c>
      <c r="J4" s="250">
        <f>F4-G4</f>
        <v>1727649</v>
      </c>
      <c r="K4" s="253">
        <f>J4/H4</f>
        <v>15.951848500517062</v>
      </c>
      <c r="L4" s="254">
        <f>+IF(E4="Weekdays",K4/$G$13,IF(E4="Saturdays",K4/$G$14,IF(E4="Sundays",K4/$G$15, "NA")))</f>
        <v>1.0639098148533455</v>
      </c>
      <c r="M4" s="181">
        <f>G4/F4</f>
        <v>2.985105637440982E-2</v>
      </c>
      <c r="N4" s="181">
        <f>+IF(E4="Weekdays",M4/$G$19,IF(E4="Saturdays",M4/$G$20,IF(E4="Sundays",M4/$G$21,"NA")))</f>
        <v>0.71940178704706148</v>
      </c>
      <c r="O4" s="255">
        <f>H4/I4</f>
        <v>15.742775742775741</v>
      </c>
      <c r="P4" s="101"/>
    </row>
    <row r="5" spans="1:18" ht="18" customHeight="1" x14ac:dyDescent="0.25">
      <c r="A5" s="184" t="s">
        <v>117</v>
      </c>
      <c r="B5" s="176">
        <v>904</v>
      </c>
      <c r="C5" s="177" t="s">
        <v>67</v>
      </c>
      <c r="D5" s="177" t="s">
        <v>106</v>
      </c>
      <c r="E5" s="176" t="s">
        <v>27</v>
      </c>
      <c r="F5" s="185">
        <v>7002367.4299999997</v>
      </c>
      <c r="G5" s="185">
        <v>372088.27</v>
      </c>
      <c r="H5" s="186">
        <v>472397.86</v>
      </c>
      <c r="I5" s="187">
        <v>21414.81</v>
      </c>
      <c r="J5" s="185">
        <f>F5-G5</f>
        <v>6630279.1600000001</v>
      </c>
      <c r="K5" s="256">
        <f>J5/H5</f>
        <v>14.035370863026349</v>
      </c>
      <c r="L5" s="181">
        <f>+IF(E5="Weekdays",K5/$G$13,IF(E5="Saturdays",K5/$G$14,IF(E5="Sundays",K5/$G$15, "NA")))</f>
        <v>0.93609018514665465</v>
      </c>
      <c r="M5" s="181">
        <f>(G5/F5)</f>
        <v>5.3137495814040717E-2</v>
      </c>
      <c r="N5" s="181">
        <f>+IF(E5="Weekdays",M5/$G$19,IF(E5="Saturdays",M5/$G$20,IF(E5="Sundays",M5/$G$21,"NA")))</f>
        <v>1.2805982129529385</v>
      </c>
      <c r="O5" s="257">
        <f>H5/I5</f>
        <v>22.059400013355241</v>
      </c>
      <c r="P5" s="82"/>
    </row>
    <row r="6" spans="1:18" x14ac:dyDescent="0.25">
      <c r="A6" s="184" t="s">
        <v>117</v>
      </c>
      <c r="B6" s="177">
        <v>903</v>
      </c>
      <c r="C6" s="177" t="s">
        <v>68</v>
      </c>
      <c r="D6" s="177" t="s">
        <v>106</v>
      </c>
      <c r="E6" s="177" t="s">
        <v>60</v>
      </c>
      <c r="F6" s="185">
        <v>383949</v>
      </c>
      <c r="G6" s="185">
        <v>10421</v>
      </c>
      <c r="H6" s="186">
        <v>21231</v>
      </c>
      <c r="I6" s="187">
        <v>1351.4</v>
      </c>
      <c r="J6" s="185">
        <f>F6-G6</f>
        <v>373528</v>
      </c>
      <c r="K6" s="256">
        <f>J6/H6</f>
        <v>17.593518911026329</v>
      </c>
      <c r="L6" s="181">
        <f>+IF(E6="Weekdays",K6/$G$13,IF(E6="Saturdays",K6/$G$14,IF(E6="Sundays",K6/$G$15, "NA")))</f>
        <v>1.0284482383035729</v>
      </c>
      <c r="M6" s="181">
        <f>G6/F6</f>
        <v>2.7141625580480742E-2</v>
      </c>
      <c r="N6" s="181">
        <f>+IF(E6="Weekdays",M6/$G$19,IF(E6="Saturdays",M6/$G$20,IF(E6="Sundays",M6/$G$21,"NA")))</f>
        <v>1.1327794330194485</v>
      </c>
      <c r="O6" s="257">
        <f>H6/I6</f>
        <v>15.710374426520644</v>
      </c>
      <c r="P6" s="82"/>
    </row>
    <row r="7" spans="1:18" x14ac:dyDescent="0.25">
      <c r="A7" s="184" t="s">
        <v>117</v>
      </c>
      <c r="B7" s="342">
        <v>904</v>
      </c>
      <c r="C7" s="342" t="s">
        <v>67</v>
      </c>
      <c r="D7" s="341" t="s">
        <v>106</v>
      </c>
      <c r="E7" s="342" t="s">
        <v>60</v>
      </c>
      <c r="F7" s="343">
        <v>850294.34</v>
      </c>
      <c r="G7" s="343">
        <v>17668.080000000002</v>
      </c>
      <c r="H7" s="344">
        <v>50097.25</v>
      </c>
      <c r="I7" s="345">
        <v>2691.33</v>
      </c>
      <c r="J7" s="343">
        <f>F7-G7</f>
        <v>832626.26</v>
      </c>
      <c r="K7" s="256">
        <f>J7/H7</f>
        <v>16.620198913113992</v>
      </c>
      <c r="L7" s="181">
        <f>+IF(E7="Weekdays",K7/$G$13,IF(E7="Saturdays",K7/$G$14,IF(E7="Sundays",K7/$G$15, "NA")))</f>
        <v>0.97155176169642732</v>
      </c>
      <c r="M7" s="181">
        <f>G7/F7</f>
        <v>2.0778781145361972E-2</v>
      </c>
      <c r="N7" s="181">
        <f>+IF(E7="Weekdays",M7/$G$19,IF(E7="Saturdays",M7/$G$20,IF(E7="Sundays",M7/$G$21,"NA")))</f>
        <v>0.86722056698055128</v>
      </c>
      <c r="O7" s="257">
        <f>H7/I7</f>
        <v>18.614309653591349</v>
      </c>
      <c r="P7" s="82"/>
    </row>
    <row r="8" spans="1:18" ht="15" customHeight="1" x14ac:dyDescent="0.25">
      <c r="A8" s="184" t="s">
        <v>117</v>
      </c>
      <c r="B8" s="342">
        <v>903</v>
      </c>
      <c r="C8" s="342" t="s">
        <v>68</v>
      </c>
      <c r="D8" s="341" t="s">
        <v>106</v>
      </c>
      <c r="E8" s="342" t="s">
        <v>59</v>
      </c>
      <c r="F8" s="343">
        <v>370710</v>
      </c>
      <c r="G8" s="343">
        <v>10735</v>
      </c>
      <c r="H8" s="344">
        <v>21870</v>
      </c>
      <c r="I8" s="345">
        <v>1321.6</v>
      </c>
      <c r="J8" s="343">
        <f>F8-G8</f>
        <v>359975</v>
      </c>
      <c r="K8" s="256">
        <f>J8/H8</f>
        <v>16.459762231367169</v>
      </c>
      <c r="L8" s="181">
        <f>+IF(E8="Weekdays",K8/$G$13,IF(E8="Saturdays",K8/$G$14,IF(E8="Sundays",K8/$G$15, "NA")))</f>
        <v>0.91399995466594341</v>
      </c>
      <c r="M8" s="181">
        <f>G8/F8</f>
        <v>2.8957945563917887E-2</v>
      </c>
      <c r="N8" s="181">
        <f>+IF(E8="Weekdays",M8/$G$19,IF(E8="Saturdays",M8/$G$20,IF(E8="Sundays",M8/$G$21,"NA")))</f>
        <v>1.2670843921951813</v>
      </c>
      <c r="O8" s="257">
        <f>H8/I8</f>
        <v>16.548123486682808</v>
      </c>
      <c r="P8" s="82"/>
    </row>
    <row r="9" spans="1:18" ht="15.75" thickBot="1" x14ac:dyDescent="0.3">
      <c r="A9" s="237" t="s">
        <v>117</v>
      </c>
      <c r="B9" s="239">
        <v>904</v>
      </c>
      <c r="C9" s="239" t="s">
        <v>67</v>
      </c>
      <c r="D9" s="239" t="s">
        <v>106</v>
      </c>
      <c r="E9" s="239" t="s">
        <v>59</v>
      </c>
      <c r="F9" s="240">
        <v>1091908.21</v>
      </c>
      <c r="G9" s="240">
        <v>18289.52</v>
      </c>
      <c r="H9" s="241">
        <v>54896.27</v>
      </c>
      <c r="I9" s="242">
        <v>3319.34</v>
      </c>
      <c r="J9" s="240">
        <f>F9-G9</f>
        <v>1073618.69</v>
      </c>
      <c r="K9" s="258">
        <f>J9/H9</f>
        <v>19.557224744049094</v>
      </c>
      <c r="L9" s="259">
        <f>+IF(E9="Weekdays",K9/$G$13,IF(E9="Saturdays",K9/$G$14,IF(E9="Sundays",K9/$G$15, "NA")))</f>
        <v>1.0860000453340568</v>
      </c>
      <c r="M9" s="259">
        <f>G9/F9</f>
        <v>1.6750052644077106E-2</v>
      </c>
      <c r="N9" s="259">
        <f>+IF(E9="Weekdays",M9/$G$19,IF(E9="Saturdays",M9/$G$20,IF(E9="Sundays",M9/$G$21,"NA")))</f>
        <v>0.73291560780481857</v>
      </c>
      <c r="O9" s="260">
        <f>H9/I9</f>
        <v>16.538308820428156</v>
      </c>
      <c r="P9" s="88"/>
    </row>
    <row r="10" spans="1:18" x14ac:dyDescent="0.25">
      <c r="A10" s="21"/>
      <c r="B10" s="22"/>
      <c r="C10" s="22"/>
      <c r="D10" s="21"/>
      <c r="E10" s="22"/>
      <c r="F10" s="23"/>
      <c r="G10" s="23"/>
      <c r="H10" s="23"/>
      <c r="I10" s="23"/>
      <c r="J10" s="23"/>
      <c r="K10" s="24"/>
      <c r="L10" s="47"/>
      <c r="M10" s="47"/>
      <c r="N10" s="47"/>
      <c r="O10" s="79"/>
      <c r="P10" s="21"/>
    </row>
    <row r="11" spans="1:18" ht="15.75" thickBot="1" x14ac:dyDescent="0.3">
      <c r="A11" s="21"/>
      <c r="B11" s="21"/>
      <c r="C11" s="21"/>
      <c r="D11" s="21"/>
      <c r="E11" s="335" t="s">
        <v>87</v>
      </c>
      <c r="F11" s="335"/>
      <c r="G11" s="335"/>
      <c r="H11" s="335"/>
      <c r="I11" s="335"/>
      <c r="J11" s="335"/>
      <c r="K11" s="335"/>
      <c r="L11" s="21"/>
      <c r="M11" s="47"/>
      <c r="N11" s="47"/>
      <c r="O11" s="21"/>
      <c r="P11" s="21"/>
      <c r="R11" s="1"/>
    </row>
    <row r="12" spans="1:18" ht="36" x14ac:dyDescent="0.25">
      <c r="A12" s="21"/>
      <c r="B12" s="21"/>
      <c r="C12" s="21"/>
      <c r="D12" s="21"/>
      <c r="E12" s="48" t="s">
        <v>57</v>
      </c>
      <c r="F12" s="75" t="s">
        <v>38</v>
      </c>
      <c r="G12" s="76" t="s">
        <v>39</v>
      </c>
      <c r="H12" s="76" t="s">
        <v>40</v>
      </c>
      <c r="I12" s="76" t="s">
        <v>41</v>
      </c>
      <c r="J12" s="77" t="s">
        <v>42</v>
      </c>
      <c r="K12" s="51" t="s">
        <v>56</v>
      </c>
      <c r="L12" s="21"/>
      <c r="M12" s="47"/>
      <c r="N12" s="47"/>
      <c r="O12" s="21"/>
      <c r="P12" s="21"/>
    </row>
    <row r="13" spans="1:18" x14ac:dyDescent="0.25">
      <c r="A13" s="21"/>
      <c r="B13" s="21"/>
      <c r="C13" s="21"/>
      <c r="D13" s="21"/>
      <c r="E13" s="52">
        <f>COUNTIF($E$4:$E$9, "Weekdays")</f>
        <v>2</v>
      </c>
      <c r="F13" s="89" t="s">
        <v>27</v>
      </c>
      <c r="G13" s="90">
        <f>AVERAGEIF($E$4:$E$9,"Weekdays",K4:K9)</f>
        <v>14.993609681771705</v>
      </c>
      <c r="H13" s="91">
        <f>G13*1.2</f>
        <v>17.992331618126045</v>
      </c>
      <c r="I13" s="92">
        <f>G13*1.35</f>
        <v>20.241373070391802</v>
      </c>
      <c r="J13" s="93">
        <f>G13*1.6</f>
        <v>23.989775490834731</v>
      </c>
      <c r="K13" s="58">
        <f>+SUMIF($E$4:$E$9,"Weekdays",$J$4:$J$9)/SUMIF($E$4:$E$9,"Weekdays",$H$4:$H$9)</f>
        <v>14.392804183544376</v>
      </c>
      <c r="L13" s="21"/>
      <c r="M13" s="47"/>
      <c r="N13" s="47"/>
      <c r="O13" s="21"/>
      <c r="P13" s="21"/>
    </row>
    <row r="14" spans="1:18" x14ac:dyDescent="0.25">
      <c r="A14" s="21"/>
      <c r="B14" s="21"/>
      <c r="C14" s="21"/>
      <c r="D14" s="21"/>
      <c r="E14" s="52">
        <f>COUNTIF($E$4:$E$9, "Saturdays")</f>
        <v>2</v>
      </c>
      <c r="F14" s="89" t="s">
        <v>59</v>
      </c>
      <c r="G14" s="90">
        <f>AVERAGEIF($E$4:$E$9,"Saturdays",K4:K9)</f>
        <v>18.00849348770813</v>
      </c>
      <c r="H14" s="91">
        <f>G14*1.2</f>
        <v>21.610192185249755</v>
      </c>
      <c r="I14" s="92">
        <f>G14*1.35</f>
        <v>24.311466208405978</v>
      </c>
      <c r="J14" s="93">
        <f>G14*1.6</f>
        <v>28.813589580333009</v>
      </c>
      <c r="K14" s="58">
        <f>+SUMIF($E$4:$E$9,"saturdays",$J$4:$J$9)/SUMIF($E$4:$E$9,"saturdays",$H$4:$H$9)</f>
        <v>18.674786335196437</v>
      </c>
      <c r="L14" s="21"/>
      <c r="M14" s="47"/>
      <c r="N14" s="47"/>
      <c r="O14" s="21"/>
      <c r="P14" s="21"/>
    </row>
    <row r="15" spans="1:18" ht="15.75" thickBot="1" x14ac:dyDescent="0.3">
      <c r="A15" s="21"/>
      <c r="B15" s="21"/>
      <c r="C15" s="21"/>
      <c r="D15" s="21"/>
      <c r="E15" s="64">
        <f>COUNTIF($E$4:$E$9, "Sundays")</f>
        <v>2</v>
      </c>
      <c r="F15" s="89" t="s">
        <v>60</v>
      </c>
      <c r="G15" s="94">
        <f>AVERAGEIF($E$4:$E$9,"Sundays",K4:K9)</f>
        <v>17.106858912070159</v>
      </c>
      <c r="H15" s="91">
        <f>G15*1.2</f>
        <v>20.52823069448419</v>
      </c>
      <c r="I15" s="92">
        <f>G15*1.35</f>
        <v>23.094259531294718</v>
      </c>
      <c r="J15" s="93">
        <f>G15*1.6</f>
        <v>27.370974259312256</v>
      </c>
      <c r="K15" s="58">
        <f>+SUMIF($E$4:$E$9,"Sundays",$J$4:$J$9)/SUMIF($E$4:$E$9,"Sundays",$H$4:$H$9)</f>
        <v>16.909909608044497</v>
      </c>
      <c r="L15" s="21"/>
      <c r="M15" s="47"/>
      <c r="N15" s="47"/>
      <c r="O15" s="21"/>
      <c r="P15" s="21"/>
    </row>
    <row r="16" spans="1:18" ht="15.75" thickBot="1" x14ac:dyDescent="0.3">
      <c r="A16" s="21"/>
      <c r="B16" s="21"/>
      <c r="C16" s="21"/>
      <c r="D16" s="21"/>
      <c r="E16" s="21"/>
      <c r="F16" s="95" t="s">
        <v>55</v>
      </c>
      <c r="G16" s="71">
        <v>25</v>
      </c>
      <c r="H16" s="72"/>
      <c r="I16" s="72"/>
      <c r="J16" s="73"/>
      <c r="K16" s="74">
        <f>+SUM($J$4:$J$9)/SUM($H$4:$H$9)</f>
        <v>15.090190362910418</v>
      </c>
      <c r="L16" s="21"/>
      <c r="M16" s="47"/>
      <c r="N16" s="47"/>
      <c r="O16" s="21"/>
      <c r="P16" s="21"/>
    </row>
    <row r="17" spans="5:14" ht="15.75" thickBot="1" x14ac:dyDescent="0.3">
      <c r="E17" s="337" t="s">
        <v>86</v>
      </c>
      <c r="F17" s="337"/>
      <c r="G17" s="337"/>
      <c r="H17" s="337"/>
      <c r="I17" s="337"/>
      <c r="J17" s="337"/>
      <c r="K17" s="337"/>
      <c r="M17" s="47"/>
      <c r="N17" s="47"/>
    </row>
    <row r="18" spans="5:14" ht="36" x14ac:dyDescent="0.25">
      <c r="E18" s="141"/>
      <c r="F18" s="48" t="s">
        <v>38</v>
      </c>
      <c r="G18" s="49" t="s">
        <v>39</v>
      </c>
      <c r="H18" s="49" t="s">
        <v>40</v>
      </c>
      <c r="I18" s="49" t="s">
        <v>41</v>
      </c>
      <c r="J18" s="50" t="s">
        <v>42</v>
      </c>
      <c r="K18" s="51" t="s">
        <v>56</v>
      </c>
      <c r="M18" s="47"/>
      <c r="N18" s="47"/>
    </row>
    <row r="19" spans="5:14" x14ac:dyDescent="0.25">
      <c r="E19" s="142"/>
      <c r="F19" s="53" t="s">
        <v>27</v>
      </c>
      <c r="G19" s="122">
        <f>AVERAGEIF($E$4:$E$97,"Weekdays",$M$4:$M$97)</f>
        <v>4.149427609422527E-2</v>
      </c>
      <c r="H19" s="123">
        <f>G19*0.8</f>
        <v>3.3195420875380216E-2</v>
      </c>
      <c r="I19" s="124">
        <f>G19*0.65</f>
        <v>2.6971279461246427E-2</v>
      </c>
      <c r="J19" s="125">
        <f>G19*0.4</f>
        <v>1.6597710437690108E-2</v>
      </c>
      <c r="K19" s="130">
        <f>+SUMIF($E$4:$E$97,"Weekdays",$G$4:$G$97)/SUMIF($E$4:$E$97,"Weekdays",$F$4:$F$97)</f>
        <v>4.8416119362425174E-2</v>
      </c>
      <c r="M19" s="47"/>
      <c r="N19" s="47"/>
    </row>
    <row r="20" spans="5:14" x14ac:dyDescent="0.25">
      <c r="E20" s="142"/>
      <c r="F20" s="59" t="s">
        <v>59</v>
      </c>
      <c r="G20" s="126">
        <f>AVERAGEIF($E$4:$E$97,"Saturdays",$M$4:$M$97)</f>
        <v>2.2853999103997498E-2</v>
      </c>
      <c r="H20" s="127">
        <f>G20*0.8</f>
        <v>1.8283199283198E-2</v>
      </c>
      <c r="I20" s="128">
        <f>G20*0.65</f>
        <v>1.4855099417598374E-2</v>
      </c>
      <c r="J20" s="129">
        <f>G20*0.4</f>
        <v>9.1415996415989999E-3</v>
      </c>
      <c r="K20" s="130">
        <f>+SUMIF($E$4:$E$97,"Saturdays",$G$4:$G$97)/SUMIF($E$4:$E$97,"Saturdays",$F$4:$F$97)</f>
        <v>1.9844221685165538E-2</v>
      </c>
      <c r="M20" s="47"/>
      <c r="N20" s="47"/>
    </row>
    <row r="21" spans="5:14" x14ac:dyDescent="0.25">
      <c r="E21" s="142"/>
      <c r="F21" s="65" t="s">
        <v>60</v>
      </c>
      <c r="G21" s="137">
        <f>AVERAGEIF($E$4:$E$97,"Sundays",$M$4:$M$97)</f>
        <v>2.3960203362921359E-2</v>
      </c>
      <c r="H21" s="138">
        <f>G21*0.8</f>
        <v>1.9168162690337089E-2</v>
      </c>
      <c r="I21" s="139">
        <f>G21*0.65</f>
        <v>1.5574132185898884E-2</v>
      </c>
      <c r="J21" s="140">
        <f>G21*0.4</f>
        <v>9.5840813451685443E-3</v>
      </c>
      <c r="K21" s="130">
        <f>+SUMIF($E$4:$E$97,"Sundays",$G$4:$G$97)/SUMIF($E$4:$E$97,"Sundays",$F$4:$F$97)</f>
        <v>2.2758137791531453E-2</v>
      </c>
      <c r="M21" s="47"/>
      <c r="N21" s="47"/>
    </row>
    <row r="22" spans="5:14" ht="15.75" thickBot="1" x14ac:dyDescent="0.3">
      <c r="E22" s="43"/>
      <c r="F22" s="84" t="s">
        <v>89</v>
      </c>
      <c r="G22" s="132">
        <f>AVERAGE(M4:M9)</f>
        <v>2.9436159520381377E-2</v>
      </c>
      <c r="H22" s="133">
        <f>G22*0.8</f>
        <v>2.3548927616305101E-2</v>
      </c>
      <c r="I22" s="134">
        <f>G22*0.65</f>
        <v>1.9133503688247896E-2</v>
      </c>
      <c r="J22" s="135">
        <f>G22*0.4</f>
        <v>1.1774463808152551E-2</v>
      </c>
      <c r="K22" s="131">
        <f>+SUM($G$4:$G$97)/SUM($F$4:$F$97)</f>
        <v>4.2023914866058186E-2</v>
      </c>
      <c r="M22" s="47"/>
      <c r="N22" s="47"/>
    </row>
    <row r="23" spans="5:14" x14ac:dyDescent="0.25">
      <c r="H23" s="118"/>
      <c r="M23" s="47"/>
      <c r="N23" s="47"/>
    </row>
    <row r="24" spans="5:14" x14ac:dyDescent="0.25">
      <c r="M24" s="47"/>
      <c r="N24" s="47"/>
    </row>
    <row r="25" spans="5:14" x14ac:dyDescent="0.25">
      <c r="M25" s="47"/>
      <c r="N25" s="47"/>
    </row>
    <row r="26" spans="5:14" x14ac:dyDescent="0.25">
      <c r="M26" s="47"/>
      <c r="N26" s="47"/>
    </row>
    <row r="27" spans="5:14" x14ac:dyDescent="0.25">
      <c r="M27" s="47"/>
      <c r="N27" s="47"/>
    </row>
    <row r="28" spans="5:14" x14ac:dyDescent="0.25">
      <c r="M28" s="47"/>
      <c r="N28" s="47"/>
    </row>
    <row r="29" spans="5:14" x14ac:dyDescent="0.25">
      <c r="M29" s="47"/>
      <c r="N29" s="47"/>
    </row>
    <row r="30" spans="5:14" x14ac:dyDescent="0.25">
      <c r="M30" s="47"/>
      <c r="N30" s="47"/>
    </row>
    <row r="31" spans="5:14" x14ac:dyDescent="0.25">
      <c r="M31" s="47"/>
      <c r="N31" s="47"/>
    </row>
    <row r="32" spans="5:14" x14ac:dyDescent="0.25">
      <c r="M32" s="47"/>
      <c r="N32" s="47"/>
    </row>
    <row r="33" spans="13:14" x14ac:dyDescent="0.25">
      <c r="M33" s="47"/>
      <c r="N33" s="47"/>
    </row>
    <row r="34" spans="13:14" x14ac:dyDescent="0.25">
      <c r="M34" s="47"/>
      <c r="N34" s="47"/>
    </row>
    <row r="35" spans="13:14" x14ac:dyDescent="0.25">
      <c r="M35" s="47"/>
      <c r="N35" s="47"/>
    </row>
    <row r="36" spans="13:14" x14ac:dyDescent="0.25">
      <c r="M36" s="47"/>
      <c r="N36" s="47"/>
    </row>
    <row r="37" spans="13:14" x14ac:dyDescent="0.25">
      <c r="M37" s="47"/>
      <c r="N37" s="47"/>
    </row>
    <row r="38" spans="13:14" x14ac:dyDescent="0.25">
      <c r="M38" s="47"/>
      <c r="N38" s="47"/>
    </row>
    <row r="39" spans="13:14" x14ac:dyDescent="0.25">
      <c r="M39" s="47"/>
      <c r="N39" s="47"/>
    </row>
    <row r="40" spans="13:14" x14ac:dyDescent="0.25">
      <c r="M40" s="47"/>
      <c r="N40" s="47"/>
    </row>
    <row r="41" spans="13:14" x14ac:dyDescent="0.25">
      <c r="M41" s="47"/>
      <c r="N41" s="47"/>
    </row>
    <row r="42" spans="13:14" x14ac:dyDescent="0.25">
      <c r="M42" s="47"/>
      <c r="N42" s="47"/>
    </row>
    <row r="43" spans="13:14" x14ac:dyDescent="0.25">
      <c r="M43" s="47"/>
      <c r="N43" s="47"/>
    </row>
    <row r="44" spans="13:14" x14ac:dyDescent="0.25">
      <c r="M44" s="47"/>
      <c r="N44" s="47"/>
    </row>
    <row r="45" spans="13:14" x14ac:dyDescent="0.25">
      <c r="M45" s="47"/>
      <c r="N45" s="47"/>
    </row>
    <row r="46" spans="13:14" x14ac:dyDescent="0.25">
      <c r="M46" s="47"/>
      <c r="N46" s="47"/>
    </row>
    <row r="47" spans="13:14" x14ac:dyDescent="0.25">
      <c r="M47" s="47"/>
      <c r="N47" s="47"/>
    </row>
    <row r="48" spans="13:14" x14ac:dyDescent="0.25">
      <c r="M48" s="47"/>
      <c r="N48" s="47"/>
    </row>
    <row r="49" spans="13:14" x14ac:dyDescent="0.25">
      <c r="M49" s="47"/>
      <c r="N49" s="47"/>
    </row>
    <row r="50" spans="13:14" x14ac:dyDescent="0.25">
      <c r="M50" s="47"/>
      <c r="N50" s="47"/>
    </row>
    <row r="51" spans="13:14" x14ac:dyDescent="0.25">
      <c r="M51" s="47"/>
      <c r="N51" s="47"/>
    </row>
    <row r="52" spans="13:14" x14ac:dyDescent="0.25">
      <c r="M52" s="47"/>
      <c r="N52" s="47"/>
    </row>
    <row r="53" spans="13:14" x14ac:dyDescent="0.25">
      <c r="M53" s="47"/>
      <c r="N53" s="47"/>
    </row>
    <row r="54" spans="13:14" x14ac:dyDescent="0.25">
      <c r="M54" s="47"/>
      <c r="N54" s="47"/>
    </row>
    <row r="55" spans="13:14" x14ac:dyDescent="0.25">
      <c r="M55" s="47"/>
      <c r="N55" s="47"/>
    </row>
    <row r="56" spans="13:14" x14ac:dyDescent="0.25">
      <c r="M56" s="47"/>
      <c r="N56" s="47"/>
    </row>
    <row r="57" spans="13:14" x14ac:dyDescent="0.25">
      <c r="M57" s="47"/>
      <c r="N57" s="47"/>
    </row>
    <row r="58" spans="13:14" x14ac:dyDescent="0.25">
      <c r="M58" s="47"/>
      <c r="N58" s="47"/>
    </row>
    <row r="59" spans="13:14" x14ac:dyDescent="0.25">
      <c r="M59" s="47"/>
      <c r="N59" s="47"/>
    </row>
    <row r="60" spans="13:14" x14ac:dyDescent="0.25">
      <c r="M60" s="47"/>
      <c r="N60" s="47"/>
    </row>
    <row r="61" spans="13:14" x14ac:dyDescent="0.25">
      <c r="M61" s="47"/>
      <c r="N61" s="47"/>
    </row>
    <row r="62" spans="13:14" x14ac:dyDescent="0.25">
      <c r="M62" s="47"/>
      <c r="N62" s="47"/>
    </row>
    <row r="63" spans="13:14" x14ac:dyDescent="0.25">
      <c r="M63" s="47"/>
      <c r="N63" s="47"/>
    </row>
    <row r="64" spans="13:14" x14ac:dyDescent="0.25">
      <c r="M64" s="47"/>
      <c r="N64" s="47"/>
    </row>
    <row r="65" spans="13:14" x14ac:dyDescent="0.25">
      <c r="M65" s="47"/>
      <c r="N65" s="47"/>
    </row>
    <row r="66" spans="13:14" x14ac:dyDescent="0.25">
      <c r="M66" s="47"/>
      <c r="N66" s="47"/>
    </row>
    <row r="67" spans="13:14" x14ac:dyDescent="0.25">
      <c r="M67" s="47"/>
      <c r="N67" s="47"/>
    </row>
    <row r="68" spans="13:14" x14ac:dyDescent="0.25">
      <c r="M68" s="47"/>
      <c r="N68" s="47"/>
    </row>
    <row r="69" spans="13:14" x14ac:dyDescent="0.25">
      <c r="M69" s="47"/>
      <c r="N69" s="47"/>
    </row>
    <row r="70" spans="13:14" x14ac:dyDescent="0.25">
      <c r="M70" s="47"/>
      <c r="N70" s="47"/>
    </row>
    <row r="71" spans="13:14" x14ac:dyDescent="0.25">
      <c r="M71" s="47"/>
      <c r="N71" s="47"/>
    </row>
    <row r="72" spans="13:14" x14ac:dyDescent="0.25">
      <c r="M72" s="47"/>
      <c r="N72" s="47"/>
    </row>
    <row r="73" spans="13:14" x14ac:dyDescent="0.25">
      <c r="M73" s="47"/>
      <c r="N73" s="47"/>
    </row>
    <row r="74" spans="13:14" x14ac:dyDescent="0.25">
      <c r="M74" s="47"/>
      <c r="N74" s="47"/>
    </row>
    <row r="75" spans="13:14" x14ac:dyDescent="0.25">
      <c r="M75" s="47"/>
      <c r="N75" s="47"/>
    </row>
    <row r="76" spans="13:14" x14ac:dyDescent="0.25">
      <c r="M76" s="47"/>
      <c r="N76" s="47"/>
    </row>
    <row r="77" spans="13:14" x14ac:dyDescent="0.25">
      <c r="M77" s="47"/>
      <c r="N77" s="47"/>
    </row>
    <row r="78" spans="13:14" x14ac:dyDescent="0.25">
      <c r="M78" s="47"/>
      <c r="N78" s="47"/>
    </row>
    <row r="79" spans="13:14" x14ac:dyDescent="0.25">
      <c r="M79" s="47"/>
      <c r="N79" s="47"/>
    </row>
    <row r="80" spans="13:14" x14ac:dyDescent="0.25">
      <c r="M80" s="47"/>
      <c r="N80" s="47"/>
    </row>
    <row r="81" spans="13:14" x14ac:dyDescent="0.25">
      <c r="M81" s="47"/>
      <c r="N81" s="47"/>
    </row>
    <row r="82" spans="13:14" x14ac:dyDescent="0.25">
      <c r="M82" s="47"/>
      <c r="N82" s="47"/>
    </row>
    <row r="83" spans="13:14" x14ac:dyDescent="0.25">
      <c r="M83" s="47"/>
      <c r="N83" s="47"/>
    </row>
    <row r="84" spans="13:14" x14ac:dyDescent="0.25">
      <c r="M84" s="47"/>
      <c r="N84" s="47"/>
    </row>
    <row r="85" spans="13:14" x14ac:dyDescent="0.25">
      <c r="M85" s="47"/>
      <c r="N85" s="47"/>
    </row>
    <row r="86" spans="13:14" x14ac:dyDescent="0.25">
      <c r="M86" s="47"/>
      <c r="N86" s="47"/>
    </row>
    <row r="87" spans="13:14" x14ac:dyDescent="0.25">
      <c r="M87" s="47"/>
      <c r="N87" s="47"/>
    </row>
    <row r="88" spans="13:14" x14ac:dyDescent="0.25">
      <c r="M88" s="47"/>
      <c r="N88" s="47"/>
    </row>
    <row r="89" spans="13:14" x14ac:dyDescent="0.25">
      <c r="M89" s="47"/>
      <c r="N89" s="47"/>
    </row>
    <row r="90" spans="13:14" x14ac:dyDescent="0.25">
      <c r="M90" s="47"/>
      <c r="N90" s="47"/>
    </row>
    <row r="91" spans="13:14" x14ac:dyDescent="0.25">
      <c r="M91" s="47"/>
      <c r="N91" s="47"/>
    </row>
    <row r="92" spans="13:14" x14ac:dyDescent="0.25">
      <c r="M92" s="47"/>
      <c r="N92" s="47"/>
    </row>
    <row r="93" spans="13:14" x14ac:dyDescent="0.25">
      <c r="M93" s="47"/>
      <c r="N93" s="47"/>
    </row>
    <row r="94" spans="13:14" x14ac:dyDescent="0.25">
      <c r="M94" s="47"/>
      <c r="N94" s="47"/>
    </row>
    <row r="95" spans="13:14" x14ac:dyDescent="0.25">
      <c r="M95" s="47"/>
      <c r="N95" s="47"/>
    </row>
    <row r="96" spans="13:14" x14ac:dyDescent="0.25">
      <c r="M96" s="47"/>
      <c r="N96" s="47"/>
    </row>
    <row r="97" spans="13:14" x14ac:dyDescent="0.25">
      <c r="M97" s="47"/>
      <c r="N97" s="47"/>
    </row>
  </sheetData>
  <autoFilter ref="A3:P9" xr:uid="{B705A104-476E-4AB4-9F61-7DEA9C03266E}">
    <sortState xmlns:xlrd2="http://schemas.microsoft.com/office/spreadsheetml/2017/richdata2" ref="A4:P9">
      <sortCondition descending="1" ref="E4:E9"/>
      <sortCondition ref="B4:B9"/>
    </sortState>
  </autoFilter>
  <sortState xmlns:xlrd2="http://schemas.microsoft.com/office/spreadsheetml/2017/richdata2" ref="A4:P9">
    <sortCondition ref="E4:E9" customList="Weekday,Wk,Saturday,Sat,Sunday,Sun,Sunday/Holiday,Sunday / Holiday,Reduced"/>
    <sortCondition ref="B4:B9"/>
  </sortState>
  <mergeCells count="3">
    <mergeCell ref="A2:O2"/>
    <mergeCell ref="E11:K11"/>
    <mergeCell ref="E17:K17"/>
  </mergeCells>
  <conditionalFormatting sqref="H7">
    <cfRule type="expression" dxfId="34" priority="16">
      <formula>(ROW(H7)-1)/3=ROUND((ROW(H7)-1)/3,0)</formula>
    </cfRule>
  </conditionalFormatting>
  <conditionalFormatting sqref="H9:I9">
    <cfRule type="expression" dxfId="33" priority="8">
      <formula>(ROW(H9)-1)/3=ROUND((ROW(H9)-1)/3,0)</formula>
    </cfRule>
  </conditionalFormatting>
  <conditionalFormatting sqref="I4">
    <cfRule type="expression" dxfId="32" priority="11">
      <formula>(ROW(I4)-1)/3=ROUND((ROW(I4)-1)/3,0)</formula>
    </cfRule>
  </conditionalFormatting>
  <conditionalFormatting sqref="I6:I7">
    <cfRule type="expression" dxfId="31" priority="9">
      <formula>(ROW(I6)-1)/3=ROUND((ROW(I6)-1)/3,0)</formula>
    </cfRule>
  </conditionalFormatting>
  <conditionalFormatting sqref="L1">
    <cfRule type="cellIs" dxfId="30" priority="18" operator="greaterThan">
      <formula>1.6</formula>
    </cfRule>
  </conditionalFormatting>
  <conditionalFormatting sqref="N4:N9">
    <cfRule type="cellIs" dxfId="29" priority="1" operator="lessThan">
      <formula>0.4</formula>
    </cfRule>
    <cfRule type="cellIs" dxfId="28" priority="2" operator="between">
      <formula>0.65</formula>
      <formula>0.4</formula>
    </cfRule>
    <cfRule type="cellIs" dxfId="27" priority="3" operator="between">
      <formula>0.8</formula>
      <formula>0.65</formula>
    </cfRule>
  </conditionalFormatting>
  <conditionalFormatting sqref="O4:O9">
    <cfRule type="cellIs" dxfId="26" priority="29" operator="lessThan">
      <formula>$G$16</formula>
    </cfRule>
  </conditionalFormatting>
  <conditionalFormatting sqref="O9">
    <cfRule type="cellIs" dxfId="25" priority="4" operator="lessThan">
      <formula>$G$20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4B07E-1B53-44D5-AA4B-8722C5B28026}">
  <dimension ref="A1:T97"/>
  <sheetViews>
    <sheetView workbookViewId="0">
      <selection activeCell="N20" sqref="N20"/>
    </sheetView>
  </sheetViews>
  <sheetFormatPr defaultRowHeight="15" x14ac:dyDescent="0.25"/>
  <cols>
    <col min="1" max="1" width="25.5703125" bestFit="1" customWidth="1"/>
    <col min="2" max="2" width="9.85546875" customWidth="1"/>
    <col min="3" max="3" width="10.7109375" customWidth="1"/>
    <col min="4" max="4" width="10.5703125" customWidth="1"/>
    <col min="5" max="5" width="10.7109375" customWidth="1"/>
    <col min="6" max="6" width="13.85546875" bestFit="1" customWidth="1"/>
    <col min="7" max="7" width="15.140625" bestFit="1" customWidth="1"/>
    <col min="8" max="8" width="13.85546875" bestFit="1" customWidth="1"/>
    <col min="9" max="9" width="14.42578125" customWidth="1"/>
    <col min="10" max="10" width="12.42578125" customWidth="1"/>
    <col min="11" max="11" width="11.7109375" customWidth="1"/>
    <col min="12" max="14" width="14.140625" customWidth="1"/>
    <col min="15" max="15" width="12.5703125" customWidth="1"/>
    <col min="16" max="16" width="35.7109375" customWidth="1"/>
    <col min="17" max="17" width="14.7109375" bestFit="1" customWidth="1"/>
    <col min="18" max="19" width="14.85546875" bestFit="1" customWidth="1"/>
  </cols>
  <sheetData>
    <row r="1" spans="1:20" ht="22.5" x14ac:dyDescent="0.45">
      <c r="A1" s="13" t="s">
        <v>49</v>
      </c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O1" s="14"/>
      <c r="P1" s="14"/>
    </row>
    <row r="2" spans="1:20" ht="37.5" thickBot="1" x14ac:dyDescent="0.75">
      <c r="A2" s="333" t="s">
        <v>95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7"/>
    </row>
    <row r="3" spans="1:20" s="6" customFormat="1" ht="75.75" thickBot="1" x14ac:dyDescent="0.3">
      <c r="A3" s="44" t="s">
        <v>7</v>
      </c>
      <c r="B3" s="45" t="s">
        <v>65</v>
      </c>
      <c r="C3" s="38" t="s">
        <v>66</v>
      </c>
      <c r="D3" s="38" t="s">
        <v>0</v>
      </c>
      <c r="E3" s="39" t="s">
        <v>1</v>
      </c>
      <c r="F3" s="39" t="s">
        <v>2</v>
      </c>
      <c r="G3" s="39" t="s">
        <v>32</v>
      </c>
      <c r="H3" s="40" t="s">
        <v>34</v>
      </c>
      <c r="I3" s="40" t="s">
        <v>58</v>
      </c>
      <c r="J3" s="41" t="s">
        <v>33</v>
      </c>
      <c r="K3" s="42" t="s">
        <v>13</v>
      </c>
      <c r="L3" s="42" t="s">
        <v>64</v>
      </c>
      <c r="M3" s="149" t="s">
        <v>86</v>
      </c>
      <c r="N3" s="150" t="s">
        <v>88</v>
      </c>
      <c r="O3" s="151" t="s">
        <v>36</v>
      </c>
      <c r="P3" s="152" t="s">
        <v>37</v>
      </c>
    </row>
    <row r="4" spans="1:20" x14ac:dyDescent="0.25">
      <c r="A4" s="247" t="s">
        <v>117</v>
      </c>
      <c r="B4" s="261">
        <v>901</v>
      </c>
      <c r="C4" s="248" t="s">
        <v>20</v>
      </c>
      <c r="D4" s="249" t="s">
        <v>107</v>
      </c>
      <c r="E4" s="248" t="s">
        <v>27</v>
      </c>
      <c r="F4" s="250">
        <v>34378105.439999998</v>
      </c>
      <c r="G4" s="250">
        <v>3689729.02</v>
      </c>
      <c r="H4" s="251">
        <v>4436599</v>
      </c>
      <c r="I4" s="252">
        <v>26968.65</v>
      </c>
      <c r="J4" s="250">
        <f>F4-G4</f>
        <v>30688376.419999998</v>
      </c>
      <c r="K4" s="262">
        <f>J4/H4</f>
        <v>6.9170949233861334</v>
      </c>
      <c r="L4" s="254">
        <f>K4/$G$13</f>
        <v>1.2220463130468404</v>
      </c>
      <c r="M4" s="244">
        <f>(G4/F4)</f>
        <v>0.10732787548283232</v>
      </c>
      <c r="N4" s="181">
        <f>+IF(E4="Weekdays",M4/$G$19,IF(E4="Saturdays",M4/$G$20,IF(E4="Sundays",M4/$G$21,"NA")))</f>
        <v>0.79431961518201277</v>
      </c>
      <c r="O4" s="255">
        <f>H4/I4</f>
        <v>164.50949528433941</v>
      </c>
      <c r="P4" s="153"/>
    </row>
    <row r="5" spans="1:20" x14ac:dyDescent="0.25">
      <c r="A5" s="184" t="s">
        <v>117</v>
      </c>
      <c r="B5" s="263">
        <v>902</v>
      </c>
      <c r="C5" s="176" t="s">
        <v>21</v>
      </c>
      <c r="D5" s="177" t="s">
        <v>107</v>
      </c>
      <c r="E5" s="176" t="s">
        <v>27</v>
      </c>
      <c r="F5" s="185">
        <v>36004227.719999999</v>
      </c>
      <c r="G5" s="185">
        <v>5865471.6600000001</v>
      </c>
      <c r="H5" s="186">
        <v>6844402</v>
      </c>
      <c r="I5" s="187">
        <v>30712.37</v>
      </c>
      <c r="J5" s="185">
        <f>F5-G5</f>
        <v>30138756.059999999</v>
      </c>
      <c r="K5" s="256">
        <f>J5/H5</f>
        <v>4.4034169909949767</v>
      </c>
      <c r="L5" s="181">
        <f>K5/$G$13</f>
        <v>0.77795368695315936</v>
      </c>
      <c r="M5" s="181">
        <f>G5/F5</f>
        <v>0.16291063665120048</v>
      </c>
      <c r="N5" s="181">
        <f>+IF(E5="Weekdays",M5/$G$19,IF(E5="Saturdays",M5/$G$20,IF(E5="Sundays",M5/$G$21,"NA")))</f>
        <v>1.2056803848179871</v>
      </c>
      <c r="O5" s="257">
        <f>H5/I5</f>
        <v>222.854895275096</v>
      </c>
      <c r="P5" s="154"/>
    </row>
    <row r="6" spans="1:20" x14ac:dyDescent="0.25">
      <c r="A6" s="184" t="s">
        <v>117</v>
      </c>
      <c r="B6" s="263">
        <v>901</v>
      </c>
      <c r="C6" s="176" t="s">
        <v>20</v>
      </c>
      <c r="D6" s="177" t="s">
        <v>107</v>
      </c>
      <c r="E6" s="176" t="s">
        <v>60</v>
      </c>
      <c r="F6" s="185">
        <v>7709824.0899999999</v>
      </c>
      <c r="G6" s="185">
        <v>864917.55</v>
      </c>
      <c r="H6" s="186">
        <v>1039993</v>
      </c>
      <c r="I6" s="187">
        <v>6032.04</v>
      </c>
      <c r="J6" s="185">
        <f>F6-G6</f>
        <v>6844906.54</v>
      </c>
      <c r="K6" s="256">
        <f>J6/H6</f>
        <v>6.5816852036504097</v>
      </c>
      <c r="L6" s="181">
        <f>K6/$G$15</f>
        <v>0.99877139824581529</v>
      </c>
      <c r="M6" s="181">
        <f>G6/F6</f>
        <v>0.11218382415778309</v>
      </c>
      <c r="N6" s="181">
        <f>+IF(E6="Weekdays",M6/$G$19,IF(E6="Saturdays",M6/$G$20,IF(E6="Sundays",M6/$G$21,"NA")))</f>
        <v>0.98779896395192657</v>
      </c>
      <c r="O6" s="257">
        <f>H6/I6</f>
        <v>172.41148931373135</v>
      </c>
      <c r="P6" s="154"/>
    </row>
    <row r="7" spans="1:20" x14ac:dyDescent="0.25">
      <c r="A7" s="184" t="s">
        <v>117</v>
      </c>
      <c r="B7" s="351">
        <v>902</v>
      </c>
      <c r="C7" s="342" t="s">
        <v>21</v>
      </c>
      <c r="D7" s="341" t="s">
        <v>107</v>
      </c>
      <c r="E7" s="342" t="s">
        <v>60</v>
      </c>
      <c r="F7" s="343">
        <v>8125243.6200000001</v>
      </c>
      <c r="G7" s="343">
        <v>934038.64</v>
      </c>
      <c r="H7" s="344">
        <v>1089927</v>
      </c>
      <c r="I7" s="345">
        <v>6865.45</v>
      </c>
      <c r="J7" s="343">
        <f>F7-G7</f>
        <v>7191204.9800000004</v>
      </c>
      <c r="K7" s="256">
        <f>J7/H7</f>
        <v>6.5978776376766524</v>
      </c>
      <c r="L7" s="181">
        <f>K7/$G$15</f>
        <v>1.0012286017541847</v>
      </c>
      <c r="M7" s="181">
        <f>G7/F7</f>
        <v>0.11495515503078541</v>
      </c>
      <c r="N7" s="181">
        <f>+IF(E7="Weekdays",M7/$G$19,IF(E7="Saturdays",M7/$G$20,IF(E7="Sundays",M7/$G$21,"NA")))</f>
        <v>1.0122010360480733</v>
      </c>
      <c r="O7" s="257">
        <f>H7/I7</f>
        <v>158.75536199375134</v>
      </c>
      <c r="P7" s="154"/>
    </row>
    <row r="8" spans="1:20" x14ac:dyDescent="0.25">
      <c r="A8" s="184" t="s">
        <v>117</v>
      </c>
      <c r="B8" s="263">
        <v>901</v>
      </c>
      <c r="C8" s="177" t="s">
        <v>20</v>
      </c>
      <c r="D8" s="177" t="s">
        <v>107</v>
      </c>
      <c r="E8" s="177" t="s">
        <v>59</v>
      </c>
      <c r="F8" s="185">
        <v>6888364.6299999999</v>
      </c>
      <c r="G8" s="185">
        <v>732659.96</v>
      </c>
      <c r="H8" s="186">
        <v>880964</v>
      </c>
      <c r="I8" s="187">
        <v>5385.7</v>
      </c>
      <c r="J8" s="185">
        <f>F8-G8</f>
        <v>6155704.6699999999</v>
      </c>
      <c r="K8" s="256">
        <f>J8/H8</f>
        <v>6.9874644934412755</v>
      </c>
      <c r="L8" s="181">
        <f>K8/$G$14</f>
        <v>1.1460718379486416</v>
      </c>
      <c r="M8" s="181">
        <f>G8/F8</f>
        <v>0.10636195952942752</v>
      </c>
      <c r="N8" s="181">
        <f>+IF(E8="Weekdays",M8/$G$19,IF(E8="Saturdays",M8/$G$20,IF(E8="Sundays",M8/$G$21,"NA")))</f>
        <v>0.85879517050852516</v>
      </c>
      <c r="O8" s="257">
        <f>H8/I8</f>
        <v>163.57465139164825</v>
      </c>
      <c r="P8" s="155"/>
    </row>
    <row r="9" spans="1:20" ht="15.75" thickBot="1" x14ac:dyDescent="0.3">
      <c r="A9" s="237" t="s">
        <v>117</v>
      </c>
      <c r="B9" s="264">
        <v>902</v>
      </c>
      <c r="C9" s="238" t="s">
        <v>21</v>
      </c>
      <c r="D9" s="239" t="s">
        <v>107</v>
      </c>
      <c r="E9" s="238" t="s">
        <v>59</v>
      </c>
      <c r="F9" s="240">
        <v>7259610.8799999999</v>
      </c>
      <c r="G9" s="240">
        <v>1026062.18</v>
      </c>
      <c r="H9" s="241">
        <v>1197309</v>
      </c>
      <c r="I9" s="242">
        <v>6129.07</v>
      </c>
      <c r="J9" s="240">
        <f>F9-G9</f>
        <v>6233548.7000000002</v>
      </c>
      <c r="K9" s="258">
        <f>J9/H9</f>
        <v>5.206299042268955</v>
      </c>
      <c r="L9" s="259">
        <f>K9/$G$14</f>
        <v>0.85392816205135835</v>
      </c>
      <c r="M9" s="259">
        <f>G9/F9</f>
        <v>0.14133845421753516</v>
      </c>
      <c r="N9" s="259">
        <f>+IF(E9="Weekdays",M9/$G$19,IF(E9="Saturdays",M9/$G$20,IF(E9="Sundays",M9/$G$21,"NA")))</f>
        <v>1.1412048294914749</v>
      </c>
      <c r="O9" s="260">
        <f>H9/I9</f>
        <v>195.34921284958403</v>
      </c>
      <c r="P9" s="156"/>
      <c r="Q9" s="2"/>
      <c r="S9" s="2"/>
      <c r="T9" s="2"/>
    </row>
    <row r="10" spans="1:20" x14ac:dyDescent="0.25">
      <c r="A10" s="21"/>
      <c r="B10" s="102"/>
      <c r="C10" s="22"/>
      <c r="D10" s="21"/>
      <c r="E10" s="21"/>
      <c r="F10" s="23"/>
      <c r="G10" s="23"/>
      <c r="H10" s="23"/>
      <c r="I10" s="23"/>
      <c r="J10" s="23"/>
      <c r="K10" s="24"/>
      <c r="L10" s="47"/>
      <c r="M10" s="47"/>
      <c r="N10" s="47"/>
      <c r="O10" s="79"/>
      <c r="P10" s="21"/>
      <c r="Q10" s="8"/>
      <c r="R10" s="9"/>
      <c r="S10" s="8"/>
      <c r="T10" s="10"/>
    </row>
    <row r="11" spans="1:20" ht="15.75" thickBot="1" x14ac:dyDescent="0.3">
      <c r="A11" s="21"/>
      <c r="B11" s="21"/>
      <c r="C11" s="21"/>
      <c r="D11" s="21"/>
      <c r="E11" s="335" t="s">
        <v>87</v>
      </c>
      <c r="F11" s="335"/>
      <c r="G11" s="335"/>
      <c r="H11" s="335"/>
      <c r="I11" s="335"/>
      <c r="J11" s="335"/>
      <c r="K11" s="335"/>
      <c r="L11" s="21"/>
      <c r="M11" s="47"/>
      <c r="N11" s="47"/>
      <c r="O11" s="21"/>
      <c r="P11" s="21"/>
      <c r="Q11" s="8"/>
      <c r="R11" s="9"/>
      <c r="S11" s="8"/>
      <c r="T11" s="10"/>
    </row>
    <row r="12" spans="1:20" ht="36" x14ac:dyDescent="0.25">
      <c r="A12" s="21"/>
      <c r="B12" s="21"/>
      <c r="C12" s="21"/>
      <c r="D12" s="21"/>
      <c r="E12" s="48" t="s">
        <v>57</v>
      </c>
      <c r="F12" s="75" t="s">
        <v>38</v>
      </c>
      <c r="G12" s="76" t="s">
        <v>39</v>
      </c>
      <c r="H12" s="76" t="s">
        <v>40</v>
      </c>
      <c r="I12" s="76" t="s">
        <v>41</v>
      </c>
      <c r="J12" s="77" t="s">
        <v>42</v>
      </c>
      <c r="K12" s="51" t="s">
        <v>56</v>
      </c>
      <c r="L12" s="21"/>
      <c r="M12" s="47"/>
      <c r="N12" s="47"/>
      <c r="O12" s="21"/>
      <c r="P12" s="21"/>
      <c r="Q12" s="8"/>
      <c r="R12" s="9"/>
      <c r="S12" s="8"/>
    </row>
    <row r="13" spans="1:20" x14ac:dyDescent="0.25">
      <c r="A13" s="21"/>
      <c r="B13" s="21"/>
      <c r="C13" s="21"/>
      <c r="D13" s="21"/>
      <c r="E13" s="52">
        <f>COUNTIF($E$4:$E$9, "Weekdays")</f>
        <v>2</v>
      </c>
      <c r="F13" s="89" t="s">
        <v>27</v>
      </c>
      <c r="G13" s="90">
        <f>AVERAGEIF($E$4:$E$9,"Weekdays",K4:K9)</f>
        <v>5.6602559571905555</v>
      </c>
      <c r="H13" s="91">
        <f>G13*1.2</f>
        <v>6.7923071486286668</v>
      </c>
      <c r="I13" s="92">
        <f>G13*1.35</f>
        <v>7.64134554220725</v>
      </c>
      <c r="J13" s="93">
        <f>G13*1.6</f>
        <v>9.0564095315048885</v>
      </c>
      <c r="K13" s="58">
        <f>+SUMIF($E$4:$E$9,"Weekdays",$J$4:$J$9)/SUMIF($E$4:$E$9,"Weekdays",$H$4:$H$9)</f>
        <v>5.3919977916853297</v>
      </c>
      <c r="L13" s="21"/>
      <c r="M13" s="47"/>
      <c r="N13" s="47"/>
      <c r="O13" s="21"/>
      <c r="P13" s="21"/>
    </row>
    <row r="14" spans="1:20" x14ac:dyDescent="0.25">
      <c r="A14" s="21"/>
      <c r="B14" s="21"/>
      <c r="C14" s="21"/>
      <c r="D14" s="21"/>
      <c r="E14" s="52">
        <f>COUNTIF($E$4:$E$9, "Saturdays")</f>
        <v>2</v>
      </c>
      <c r="F14" s="89" t="s">
        <v>59</v>
      </c>
      <c r="G14" s="90">
        <f>AVERAGEIF($E$4:$E$9,"Saturdays",K4:K9)</f>
        <v>6.0968817678551153</v>
      </c>
      <c r="H14" s="91">
        <f>G14*1.2</f>
        <v>7.316258121426138</v>
      </c>
      <c r="I14" s="92">
        <f>G14*1.35</f>
        <v>8.2307903866044061</v>
      </c>
      <c r="J14" s="93">
        <f>G14*1.6</f>
        <v>9.7550108285681851</v>
      </c>
      <c r="K14" s="58">
        <f>+SUMIF($E$4:$E$9,"saturdays",$J$4:$J$9)/SUMIF($E$4:$E$9,"saturdays",$H$4:$H$9)</f>
        <v>5.9613214288979366</v>
      </c>
      <c r="L14" s="21"/>
      <c r="M14" s="47"/>
      <c r="N14" s="47"/>
      <c r="O14" s="21"/>
      <c r="P14" s="21"/>
    </row>
    <row r="15" spans="1:20" ht="15.75" thickBot="1" x14ac:dyDescent="0.3">
      <c r="A15" s="21"/>
      <c r="B15" s="21"/>
      <c r="C15" s="21"/>
      <c r="D15" s="21"/>
      <c r="E15" s="64">
        <f>COUNTIF($E$4:$E$9, "Sundays")</f>
        <v>2</v>
      </c>
      <c r="F15" s="89" t="s">
        <v>60</v>
      </c>
      <c r="G15" s="94">
        <f>AVERAGEIF($E$4:$E$9,"Sundays",K4:K9)</f>
        <v>6.589781420663531</v>
      </c>
      <c r="H15" s="91">
        <f>G15*1.2</f>
        <v>7.9077377047962365</v>
      </c>
      <c r="I15" s="92">
        <f>G15*1.35</f>
        <v>8.8962049178957674</v>
      </c>
      <c r="J15" s="93">
        <f>G15*1.6</f>
        <v>10.543650273061651</v>
      </c>
      <c r="K15" s="58">
        <f>+SUMIF($E$4:$E$9,"Sundays",$J$4:$J$9)/SUMIF($E$4:$E$9,"Sundays",$H$4:$H$9)</f>
        <v>6.5899712289663457</v>
      </c>
      <c r="L15" s="21"/>
      <c r="M15" s="47"/>
      <c r="N15" s="47"/>
      <c r="O15" s="21"/>
      <c r="P15" s="21"/>
    </row>
    <row r="16" spans="1:20" ht="15.75" thickBot="1" x14ac:dyDescent="0.3">
      <c r="A16" s="21"/>
      <c r="B16" s="21"/>
      <c r="C16" s="21"/>
      <c r="D16" s="21"/>
      <c r="E16" s="21"/>
      <c r="F16" s="95" t="s">
        <v>55</v>
      </c>
      <c r="G16" s="71">
        <v>70</v>
      </c>
      <c r="H16" s="72"/>
      <c r="I16" s="72"/>
      <c r="J16" s="73"/>
      <c r="K16" s="74">
        <f>+SUM($J$4:$J$9)/SUM($H$4:$H$9)</f>
        <v>5.6331205723164164</v>
      </c>
      <c r="L16" s="21"/>
      <c r="M16" s="47"/>
      <c r="N16" s="47"/>
      <c r="O16" s="21"/>
      <c r="P16" s="21"/>
    </row>
    <row r="17" spans="5:14" ht="15.75" thickBot="1" x14ac:dyDescent="0.3">
      <c r="E17" s="337" t="s">
        <v>86</v>
      </c>
      <c r="F17" s="337"/>
      <c r="G17" s="337"/>
      <c r="H17" s="337"/>
      <c r="I17" s="337"/>
      <c r="J17" s="337"/>
      <c r="K17" s="337"/>
      <c r="M17" s="47"/>
      <c r="N17" s="47"/>
    </row>
    <row r="18" spans="5:14" ht="48" x14ac:dyDescent="0.25">
      <c r="E18" s="141"/>
      <c r="F18" s="48" t="s">
        <v>38</v>
      </c>
      <c r="G18" s="49" t="s">
        <v>39</v>
      </c>
      <c r="H18" s="49" t="s">
        <v>40</v>
      </c>
      <c r="I18" s="49" t="s">
        <v>41</v>
      </c>
      <c r="J18" s="50" t="s">
        <v>42</v>
      </c>
      <c r="K18" s="51" t="s">
        <v>56</v>
      </c>
      <c r="M18" s="47"/>
      <c r="N18" s="47"/>
    </row>
    <row r="19" spans="5:14" x14ac:dyDescent="0.25">
      <c r="E19" s="142"/>
      <c r="F19" s="53" t="s">
        <v>27</v>
      </c>
      <c r="G19" s="122">
        <f>AVERAGEIF($E$4:$E$97,"Weekdays",$M$4:$M$97)</f>
        <v>0.13511925606701641</v>
      </c>
      <c r="H19" s="123">
        <f>G19*0.8</f>
        <v>0.10809540485361313</v>
      </c>
      <c r="I19" s="124">
        <f>G19*0.65</f>
        <v>8.7827516443560669E-2</v>
      </c>
      <c r="J19" s="125">
        <f>G19*0.4</f>
        <v>5.4047702426806565E-2</v>
      </c>
      <c r="K19" s="130">
        <f>+SUMIF($E$4:$E$97,"Weekdays",$G$4:$G$97)/SUMIF($E$4:$E$97,"Weekdays",$F$4:$F$97)</f>
        <v>0.13576135162041564</v>
      </c>
      <c r="M19" s="47"/>
      <c r="N19" s="47"/>
    </row>
    <row r="20" spans="5:14" x14ac:dyDescent="0.25">
      <c r="E20" s="142"/>
      <c r="F20" s="59" t="s">
        <v>59</v>
      </c>
      <c r="G20" s="126">
        <f>AVERAGEIF($E$4:$E$97,"Saturdays",$M$4:$M$97)</f>
        <v>0.12385020687348133</v>
      </c>
      <c r="H20" s="127">
        <f>G20*0.8</f>
        <v>9.9080165498785067E-2</v>
      </c>
      <c r="I20" s="128">
        <f>G20*0.65</f>
        <v>8.0502634467762874E-2</v>
      </c>
      <c r="J20" s="129">
        <f>G20*0.4</f>
        <v>4.9540082749392533E-2</v>
      </c>
      <c r="K20" s="130">
        <f>+SUMIF($E$4:$E$97,"Saturdays",$G$4:$G$97)/SUMIF($E$4:$E$97,"Saturdays",$F$4:$F$97)</f>
        <v>0.1243091026526664</v>
      </c>
      <c r="M20" s="47"/>
      <c r="N20" s="47"/>
    </row>
    <row r="21" spans="5:14" x14ac:dyDescent="0.25">
      <c r="E21" s="142"/>
      <c r="F21" s="65" t="s">
        <v>60</v>
      </c>
      <c r="G21" s="137">
        <f>AVERAGEIF($E$4:$E$97,"Sundays",$M$4:$M$97)</f>
        <v>0.11356948959428426</v>
      </c>
      <c r="H21" s="138">
        <f>G21*0.8</f>
        <v>9.0855591675427408E-2</v>
      </c>
      <c r="I21" s="139">
        <f>G21*0.65</f>
        <v>7.3820168236284775E-2</v>
      </c>
      <c r="J21" s="140">
        <f>G21*0.4</f>
        <v>4.5427795837713704E-2</v>
      </c>
      <c r="K21" s="130">
        <f>+SUMIF($E$4:$E$97,"Sundays",$G$4:$G$97)/SUMIF($E$4:$E$97,"Sundays",$F$4:$F$97)</f>
        <v>0.11360584134818327</v>
      </c>
      <c r="M21" s="47"/>
      <c r="N21" s="47"/>
    </row>
    <row r="22" spans="5:14" ht="15.75" thickBot="1" x14ac:dyDescent="0.3">
      <c r="E22" s="43"/>
      <c r="F22" s="84" t="s">
        <v>89</v>
      </c>
      <c r="G22" s="132">
        <f>AVERAGE(M4:M9)</f>
        <v>0.12417965084492733</v>
      </c>
      <c r="H22" s="133">
        <f>G22*0.8</f>
        <v>9.9343720675941868E-2</v>
      </c>
      <c r="I22" s="134">
        <f>G22*0.65</f>
        <v>8.0716773049202759E-2</v>
      </c>
      <c r="J22" s="135">
        <f>G22*0.4</f>
        <v>4.9671860337970934E-2</v>
      </c>
      <c r="K22" s="131">
        <f>+SUM($G$4:$G$97)/SUM($F$4:$F$97)</f>
        <v>0.13065230587080023</v>
      </c>
      <c r="M22" s="47"/>
      <c r="N22" s="47"/>
    </row>
    <row r="23" spans="5:14" x14ac:dyDescent="0.25">
      <c r="M23" s="47"/>
      <c r="N23" s="47"/>
    </row>
    <row r="24" spans="5:14" x14ac:dyDescent="0.25">
      <c r="M24" s="47"/>
      <c r="N24" s="47"/>
    </row>
    <row r="25" spans="5:14" x14ac:dyDescent="0.25">
      <c r="M25" s="47"/>
      <c r="N25" s="47"/>
    </row>
    <row r="26" spans="5:14" x14ac:dyDescent="0.25">
      <c r="M26" s="47"/>
      <c r="N26" s="47"/>
    </row>
    <row r="27" spans="5:14" x14ac:dyDescent="0.25">
      <c r="M27" s="47"/>
      <c r="N27" s="47"/>
    </row>
    <row r="28" spans="5:14" x14ac:dyDescent="0.25">
      <c r="M28" s="47"/>
      <c r="N28" s="47"/>
    </row>
    <row r="29" spans="5:14" x14ac:dyDescent="0.25">
      <c r="M29" s="47"/>
      <c r="N29" s="47"/>
    </row>
    <row r="30" spans="5:14" x14ac:dyDescent="0.25">
      <c r="M30" s="47"/>
      <c r="N30" s="47"/>
    </row>
    <row r="31" spans="5:14" x14ac:dyDescent="0.25">
      <c r="M31" s="47"/>
      <c r="N31" s="47"/>
    </row>
    <row r="32" spans="5:14" x14ac:dyDescent="0.25">
      <c r="M32" s="47"/>
      <c r="N32" s="47"/>
    </row>
    <row r="33" spans="13:14" x14ac:dyDescent="0.25">
      <c r="M33" s="47"/>
      <c r="N33" s="47"/>
    </row>
    <row r="34" spans="13:14" x14ac:dyDescent="0.25">
      <c r="M34" s="47"/>
      <c r="N34" s="47"/>
    </row>
    <row r="35" spans="13:14" x14ac:dyDescent="0.25">
      <c r="M35" s="47"/>
      <c r="N35" s="47"/>
    </row>
    <row r="36" spans="13:14" x14ac:dyDescent="0.25">
      <c r="M36" s="47"/>
      <c r="N36" s="47"/>
    </row>
    <row r="37" spans="13:14" x14ac:dyDescent="0.25">
      <c r="M37" s="47"/>
      <c r="N37" s="47"/>
    </row>
    <row r="38" spans="13:14" x14ac:dyDescent="0.25">
      <c r="M38" s="47"/>
      <c r="N38" s="47"/>
    </row>
    <row r="39" spans="13:14" x14ac:dyDescent="0.25">
      <c r="M39" s="47"/>
      <c r="N39" s="47"/>
    </row>
    <row r="40" spans="13:14" x14ac:dyDescent="0.25">
      <c r="M40" s="47"/>
      <c r="N40" s="47"/>
    </row>
    <row r="41" spans="13:14" x14ac:dyDescent="0.25">
      <c r="M41" s="47"/>
      <c r="N41" s="47"/>
    </row>
    <row r="42" spans="13:14" x14ac:dyDescent="0.25">
      <c r="M42" s="47"/>
      <c r="N42" s="47"/>
    </row>
    <row r="43" spans="13:14" x14ac:dyDescent="0.25">
      <c r="M43" s="47"/>
      <c r="N43" s="47"/>
    </row>
    <row r="44" spans="13:14" x14ac:dyDescent="0.25">
      <c r="M44" s="47"/>
      <c r="N44" s="47"/>
    </row>
    <row r="45" spans="13:14" x14ac:dyDescent="0.25">
      <c r="M45" s="47"/>
      <c r="N45" s="47"/>
    </row>
    <row r="46" spans="13:14" x14ac:dyDescent="0.25">
      <c r="M46" s="47"/>
      <c r="N46" s="47"/>
    </row>
    <row r="47" spans="13:14" x14ac:dyDescent="0.25">
      <c r="M47" s="47"/>
      <c r="N47" s="47"/>
    </row>
    <row r="48" spans="13:14" x14ac:dyDescent="0.25">
      <c r="M48" s="47"/>
      <c r="N48" s="47"/>
    </row>
    <row r="49" spans="13:14" x14ac:dyDescent="0.25">
      <c r="M49" s="47"/>
      <c r="N49" s="47"/>
    </row>
    <row r="50" spans="13:14" x14ac:dyDescent="0.25">
      <c r="M50" s="47"/>
      <c r="N50" s="47"/>
    </row>
    <row r="51" spans="13:14" x14ac:dyDescent="0.25">
      <c r="M51" s="47"/>
      <c r="N51" s="47"/>
    </row>
    <row r="52" spans="13:14" x14ac:dyDescent="0.25">
      <c r="M52" s="47"/>
      <c r="N52" s="47"/>
    </row>
    <row r="53" spans="13:14" x14ac:dyDescent="0.25">
      <c r="M53" s="47"/>
      <c r="N53" s="47"/>
    </row>
    <row r="54" spans="13:14" x14ac:dyDescent="0.25">
      <c r="M54" s="47"/>
      <c r="N54" s="47"/>
    </row>
    <row r="55" spans="13:14" x14ac:dyDescent="0.25">
      <c r="M55" s="47"/>
      <c r="N55" s="47"/>
    </row>
    <row r="56" spans="13:14" x14ac:dyDescent="0.25">
      <c r="M56" s="47"/>
      <c r="N56" s="47"/>
    </row>
    <row r="57" spans="13:14" x14ac:dyDescent="0.25">
      <c r="M57" s="47"/>
      <c r="N57" s="47"/>
    </row>
    <row r="58" spans="13:14" x14ac:dyDescent="0.25">
      <c r="M58" s="47"/>
      <c r="N58" s="47"/>
    </row>
    <row r="59" spans="13:14" x14ac:dyDescent="0.25">
      <c r="M59" s="47"/>
      <c r="N59" s="47"/>
    </row>
    <row r="60" spans="13:14" x14ac:dyDescent="0.25">
      <c r="M60" s="47"/>
      <c r="N60" s="47"/>
    </row>
    <row r="61" spans="13:14" x14ac:dyDescent="0.25">
      <c r="M61" s="47"/>
      <c r="N61" s="47"/>
    </row>
    <row r="62" spans="13:14" x14ac:dyDescent="0.25">
      <c r="M62" s="47"/>
      <c r="N62" s="47"/>
    </row>
    <row r="63" spans="13:14" x14ac:dyDescent="0.25">
      <c r="M63" s="47"/>
      <c r="N63" s="47"/>
    </row>
    <row r="64" spans="13:14" x14ac:dyDescent="0.25">
      <c r="M64" s="47"/>
      <c r="N64" s="47"/>
    </row>
    <row r="65" spans="13:14" x14ac:dyDescent="0.25">
      <c r="M65" s="47"/>
      <c r="N65" s="47"/>
    </row>
    <row r="66" spans="13:14" x14ac:dyDescent="0.25">
      <c r="M66" s="47"/>
      <c r="N66" s="47"/>
    </row>
    <row r="67" spans="13:14" x14ac:dyDescent="0.25">
      <c r="M67" s="47"/>
      <c r="N67" s="47"/>
    </row>
    <row r="68" spans="13:14" x14ac:dyDescent="0.25">
      <c r="M68" s="47"/>
      <c r="N68" s="47"/>
    </row>
    <row r="69" spans="13:14" x14ac:dyDescent="0.25">
      <c r="M69" s="47"/>
      <c r="N69" s="47"/>
    </row>
    <row r="70" spans="13:14" x14ac:dyDescent="0.25">
      <c r="M70" s="47"/>
      <c r="N70" s="47"/>
    </row>
    <row r="71" spans="13:14" x14ac:dyDescent="0.25">
      <c r="M71" s="47"/>
      <c r="N71" s="47"/>
    </row>
    <row r="72" spans="13:14" x14ac:dyDescent="0.25">
      <c r="M72" s="47"/>
      <c r="N72" s="47"/>
    </row>
    <row r="73" spans="13:14" x14ac:dyDescent="0.25">
      <c r="M73" s="47"/>
      <c r="N73" s="47"/>
    </row>
    <row r="74" spans="13:14" x14ac:dyDescent="0.25">
      <c r="M74" s="47"/>
      <c r="N74" s="47"/>
    </row>
    <row r="75" spans="13:14" x14ac:dyDescent="0.25">
      <c r="M75" s="47"/>
      <c r="N75" s="47"/>
    </row>
    <row r="76" spans="13:14" x14ac:dyDescent="0.25">
      <c r="M76" s="47"/>
      <c r="N76" s="47"/>
    </row>
    <row r="77" spans="13:14" x14ac:dyDescent="0.25">
      <c r="M77" s="47"/>
      <c r="N77" s="47"/>
    </row>
    <row r="78" spans="13:14" x14ac:dyDescent="0.25">
      <c r="M78" s="47"/>
      <c r="N78" s="47"/>
    </row>
    <row r="79" spans="13:14" x14ac:dyDescent="0.25">
      <c r="M79" s="47"/>
      <c r="N79" s="47"/>
    </row>
    <row r="80" spans="13:14" x14ac:dyDescent="0.25">
      <c r="M80" s="47"/>
      <c r="N80" s="47"/>
    </row>
    <row r="81" spans="13:14" x14ac:dyDescent="0.25">
      <c r="M81" s="47"/>
      <c r="N81" s="47"/>
    </row>
    <row r="82" spans="13:14" x14ac:dyDescent="0.25">
      <c r="M82" s="47"/>
      <c r="N82" s="47"/>
    </row>
    <row r="83" spans="13:14" x14ac:dyDescent="0.25">
      <c r="M83" s="47"/>
      <c r="N83" s="47"/>
    </row>
    <row r="84" spans="13:14" x14ac:dyDescent="0.25">
      <c r="M84" s="47"/>
      <c r="N84" s="47"/>
    </row>
    <row r="85" spans="13:14" x14ac:dyDescent="0.25">
      <c r="M85" s="47"/>
      <c r="N85" s="47"/>
    </row>
    <row r="86" spans="13:14" x14ac:dyDescent="0.25">
      <c r="M86" s="47"/>
      <c r="N86" s="47"/>
    </row>
    <row r="87" spans="13:14" x14ac:dyDescent="0.25">
      <c r="M87" s="47"/>
      <c r="N87" s="47"/>
    </row>
    <row r="88" spans="13:14" x14ac:dyDescent="0.25">
      <c r="M88" s="47"/>
      <c r="N88" s="47"/>
    </row>
    <row r="89" spans="13:14" x14ac:dyDescent="0.25">
      <c r="M89" s="47"/>
      <c r="N89" s="47"/>
    </row>
    <row r="90" spans="13:14" x14ac:dyDescent="0.25">
      <c r="M90" s="47"/>
      <c r="N90" s="47"/>
    </row>
    <row r="91" spans="13:14" x14ac:dyDescent="0.25">
      <c r="M91" s="47"/>
      <c r="N91" s="47"/>
    </row>
    <row r="92" spans="13:14" x14ac:dyDescent="0.25">
      <c r="M92" s="47"/>
      <c r="N92" s="47"/>
    </row>
    <row r="93" spans="13:14" x14ac:dyDescent="0.25">
      <c r="M93" s="47"/>
      <c r="N93" s="47"/>
    </row>
    <row r="94" spans="13:14" x14ac:dyDescent="0.25">
      <c r="M94" s="47"/>
      <c r="N94" s="47"/>
    </row>
    <row r="95" spans="13:14" x14ac:dyDescent="0.25">
      <c r="M95" s="47"/>
      <c r="N95" s="47"/>
    </row>
    <row r="96" spans="13:14" x14ac:dyDescent="0.25">
      <c r="M96" s="47"/>
      <c r="N96" s="47"/>
    </row>
    <row r="97" spans="13:14" x14ac:dyDescent="0.25">
      <c r="M97" s="47"/>
      <c r="N97" s="47"/>
    </row>
  </sheetData>
  <autoFilter ref="A3:P9" xr:uid="{4FE4B07E-1B53-44D5-AA4B-8722C5B28026}">
    <sortState xmlns:xlrd2="http://schemas.microsoft.com/office/spreadsheetml/2017/richdata2" ref="A4:P9">
      <sortCondition descending="1" ref="E4:E9"/>
      <sortCondition ref="B4:B9"/>
    </sortState>
  </autoFilter>
  <sortState xmlns:xlrd2="http://schemas.microsoft.com/office/spreadsheetml/2017/richdata2" ref="A4:P9">
    <sortCondition ref="E4:E9" customList="Weekday,Wk,Saturday,Sat,Sunday,Sun,Sunday/Holiday,Sunday / Holiday,Reduced"/>
    <sortCondition ref="C4:C9"/>
  </sortState>
  <mergeCells count="3">
    <mergeCell ref="A2:O2"/>
    <mergeCell ref="E11:K11"/>
    <mergeCell ref="E17:K17"/>
  </mergeCells>
  <conditionalFormatting sqref="L1">
    <cfRule type="cellIs" dxfId="24" priority="12" operator="greaterThan">
      <formula>1.6</formula>
    </cfRule>
  </conditionalFormatting>
  <conditionalFormatting sqref="N4:N9">
    <cfRule type="cellIs" dxfId="23" priority="1" operator="lessThan">
      <formula>0.4</formula>
    </cfRule>
    <cfRule type="cellIs" dxfId="22" priority="2" operator="between">
      <formula>0.65</formula>
      <formula>0.4</formula>
    </cfRule>
    <cfRule type="cellIs" dxfId="21" priority="3" operator="between">
      <formula>0.8</formula>
      <formula>0.65</formula>
    </cfRule>
  </conditionalFormatting>
  <conditionalFormatting sqref="O4:O9">
    <cfRule type="cellIs" dxfId="20" priority="27" operator="lessThan">
      <formula>$G$16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151C5-C99A-4EE2-AB84-D695D8BC4C22}">
  <dimension ref="A1:N12"/>
  <sheetViews>
    <sheetView workbookViewId="0">
      <selection activeCell="B11" sqref="B11"/>
    </sheetView>
  </sheetViews>
  <sheetFormatPr defaultRowHeight="15" x14ac:dyDescent="0.25"/>
  <cols>
    <col min="1" max="1" width="26.28515625" customWidth="1"/>
    <col min="2" max="2" width="9.5703125" customWidth="1"/>
    <col min="3" max="3" width="9.5703125" bestFit="1" customWidth="1"/>
    <col min="4" max="4" width="14.28515625" customWidth="1"/>
    <col min="5" max="5" width="10.7109375" customWidth="1"/>
    <col min="6" max="6" width="15.28515625" customWidth="1"/>
    <col min="7" max="7" width="15.28515625" bestFit="1" customWidth="1"/>
    <col min="8" max="8" width="13.7109375" bestFit="1" customWidth="1"/>
    <col min="9" max="9" width="11.7109375" customWidth="1"/>
    <col min="10" max="10" width="12.85546875" customWidth="1"/>
    <col min="11" max="11" width="11.7109375" customWidth="1"/>
    <col min="12" max="12" width="14.140625" customWidth="1"/>
    <col min="13" max="13" width="12.85546875" customWidth="1"/>
    <col min="14" max="14" width="35.7109375" customWidth="1"/>
  </cols>
  <sheetData>
    <row r="1" spans="1:14" ht="23.25" thickBot="1" x14ac:dyDescent="0.5">
      <c r="A1" s="13" t="s">
        <v>50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38.25" thickTop="1" thickBot="1" x14ac:dyDescent="0.75">
      <c r="A2" s="338" t="s">
        <v>96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273"/>
    </row>
    <row r="3" spans="1:14" s="6" customFormat="1" ht="45" x14ac:dyDescent="0.25">
      <c r="A3" s="274" t="s">
        <v>7</v>
      </c>
      <c r="B3" s="45" t="s">
        <v>65</v>
      </c>
      <c r="C3" s="38" t="s">
        <v>66</v>
      </c>
      <c r="D3" s="38" t="s">
        <v>0</v>
      </c>
      <c r="E3" s="39" t="s">
        <v>1</v>
      </c>
      <c r="F3" s="39" t="s">
        <v>2</v>
      </c>
      <c r="G3" s="39" t="s">
        <v>32</v>
      </c>
      <c r="H3" s="40" t="s">
        <v>34</v>
      </c>
      <c r="I3" s="40" t="s">
        <v>35</v>
      </c>
      <c r="J3" s="41" t="s">
        <v>33</v>
      </c>
      <c r="K3" s="42" t="s">
        <v>13</v>
      </c>
      <c r="L3" s="42" t="s">
        <v>64</v>
      </c>
      <c r="M3" s="46" t="s">
        <v>36</v>
      </c>
      <c r="N3" s="275" t="s">
        <v>37</v>
      </c>
    </row>
    <row r="4" spans="1:14" x14ac:dyDescent="0.25">
      <c r="A4" s="276" t="s">
        <v>117</v>
      </c>
      <c r="B4" s="265">
        <v>888</v>
      </c>
      <c r="C4" s="265" t="s">
        <v>108</v>
      </c>
      <c r="D4" s="266" t="s">
        <v>22</v>
      </c>
      <c r="E4" s="265" t="s">
        <v>27</v>
      </c>
      <c r="F4" s="300">
        <v>13491757.41</v>
      </c>
      <c r="G4" s="300">
        <v>340692.4</v>
      </c>
      <c r="H4" s="268">
        <v>110475.2</v>
      </c>
      <c r="I4" s="269">
        <v>1762.86</v>
      </c>
      <c r="J4" s="267">
        <f>F4-G4</f>
        <v>13151065.01</v>
      </c>
      <c r="K4" s="270">
        <f>J4/H4</f>
        <v>119.04087985357801</v>
      </c>
      <c r="L4" s="271">
        <v>1</v>
      </c>
      <c r="M4" s="272">
        <f>H4/I4</f>
        <v>62.668164233121182</v>
      </c>
      <c r="N4" s="277"/>
    </row>
    <row r="5" spans="1:14" x14ac:dyDescent="0.25">
      <c r="A5" s="174" t="s">
        <v>117</v>
      </c>
      <c r="B5" s="177">
        <v>889</v>
      </c>
      <c r="C5" s="177" t="s">
        <v>108</v>
      </c>
      <c r="D5" s="177" t="s">
        <v>22</v>
      </c>
      <c r="E5" s="177" t="s">
        <v>59</v>
      </c>
      <c r="F5" s="301">
        <v>742494.12</v>
      </c>
      <c r="G5" s="301">
        <v>18749.38</v>
      </c>
      <c r="H5" s="177">
        <v>6079.8</v>
      </c>
      <c r="I5" s="177">
        <v>11.31</v>
      </c>
      <c r="J5" s="278">
        <f>F5-G5</f>
        <v>723744.74</v>
      </c>
      <c r="K5" s="180">
        <f>J5/H5</f>
        <v>119.04087963419849</v>
      </c>
      <c r="L5" s="231">
        <v>1</v>
      </c>
      <c r="M5" s="243">
        <f>H5/I5</f>
        <v>537.55968169761275</v>
      </c>
      <c r="N5" s="193"/>
    </row>
    <row r="6" spans="1:14" ht="15.75" thickBot="1" x14ac:dyDescent="0.3">
      <c r="A6" s="194" t="s">
        <v>117</v>
      </c>
      <c r="B6" s="196">
        <v>890</v>
      </c>
      <c r="C6" s="196" t="s">
        <v>108</v>
      </c>
      <c r="D6" s="196" t="s">
        <v>22</v>
      </c>
      <c r="E6" s="196" t="s">
        <v>60</v>
      </c>
      <c r="F6" s="302">
        <v>1320632.74</v>
      </c>
      <c r="G6" s="302">
        <v>33348.480000000003</v>
      </c>
      <c r="H6" s="196">
        <v>10813.8</v>
      </c>
      <c r="I6" s="196">
        <v>18.260000000000002</v>
      </c>
      <c r="J6" s="279">
        <f>F6-G6</f>
        <v>1287284.26</v>
      </c>
      <c r="K6" s="206">
        <f>J6/H6</f>
        <v>119.04087924688824</v>
      </c>
      <c r="L6" s="232">
        <v>1</v>
      </c>
      <c r="M6" s="246">
        <f>H6/I6</f>
        <v>592.2124863088718</v>
      </c>
      <c r="N6" s="203"/>
    </row>
    <row r="7" spans="1:14" ht="16.5" thickTop="1" thickBot="1" x14ac:dyDescent="0.3">
      <c r="A7" s="21"/>
      <c r="B7" s="22"/>
      <c r="C7" s="22"/>
      <c r="D7" s="21"/>
      <c r="E7" s="22"/>
      <c r="F7" s="23"/>
      <c r="G7" s="23"/>
      <c r="H7" s="23"/>
      <c r="I7" s="23"/>
      <c r="J7" s="23"/>
      <c r="K7" s="24"/>
      <c r="L7" s="47"/>
      <c r="M7" s="303"/>
      <c r="N7" s="21"/>
    </row>
    <row r="8" spans="1:14" ht="36" x14ac:dyDescent="0.25">
      <c r="A8" s="21"/>
      <c r="B8" s="21"/>
      <c r="C8" s="21"/>
      <c r="D8" s="21"/>
      <c r="E8" s="21"/>
      <c r="F8" s="48" t="s">
        <v>57</v>
      </c>
      <c r="G8" s="75" t="s">
        <v>38</v>
      </c>
      <c r="H8" s="76" t="s">
        <v>39</v>
      </c>
      <c r="I8" s="76" t="s">
        <v>40</v>
      </c>
      <c r="J8" s="76" t="s">
        <v>41</v>
      </c>
      <c r="K8" s="77" t="s">
        <v>42</v>
      </c>
      <c r="L8" s="51" t="s">
        <v>56</v>
      </c>
      <c r="M8" s="21"/>
      <c r="N8" s="21"/>
    </row>
    <row r="9" spans="1:14" x14ac:dyDescent="0.25">
      <c r="A9" s="21"/>
      <c r="B9" s="21"/>
      <c r="C9" s="21"/>
      <c r="D9" s="21"/>
      <c r="E9" s="21"/>
      <c r="F9" s="52">
        <f>COUNTIF($E$4, "Weekdays")</f>
        <v>1</v>
      </c>
      <c r="G9" s="89" t="s">
        <v>6</v>
      </c>
      <c r="H9" s="90">
        <f>AVERAGEIF($E$4,"Weekdays",K4)</f>
        <v>119.04087985357801</v>
      </c>
      <c r="I9" s="91">
        <f>H9*1.2</f>
        <v>142.8490558242936</v>
      </c>
      <c r="J9" s="92">
        <f>H9*1.35</f>
        <v>160.70518780233033</v>
      </c>
      <c r="K9" s="93">
        <f>H9*1.6</f>
        <v>190.46540776572482</v>
      </c>
      <c r="L9" s="58">
        <f>+SUMIF($E$4,"Weekdays",$J$4)/SUMIF($E$4,"Weekdays",$H$4)</f>
        <v>119.04087985357801</v>
      </c>
      <c r="M9" s="21"/>
      <c r="N9" s="21"/>
    </row>
    <row r="10" spans="1:14" x14ac:dyDescent="0.25">
      <c r="A10" s="21"/>
      <c r="B10" s="21"/>
      <c r="C10" s="21"/>
      <c r="D10" s="21"/>
      <c r="E10" s="21"/>
      <c r="F10" s="52">
        <f>COUNTIF($E$4, "Saturdays")</f>
        <v>0</v>
      </c>
      <c r="G10" s="89" t="s">
        <v>10</v>
      </c>
      <c r="H10" s="90">
        <f>AVERAGEIF($E$4:$E$7,"Saturdays",K3:K7)</f>
        <v>119.04087985357801</v>
      </c>
      <c r="I10" s="91">
        <f>H10*1.2</f>
        <v>142.8490558242936</v>
      </c>
      <c r="J10" s="92">
        <f>H10*1.35</f>
        <v>160.70518780233033</v>
      </c>
      <c r="K10" s="93">
        <f>H10*1.6</f>
        <v>190.46540776572482</v>
      </c>
      <c r="L10" s="58">
        <f>+SUMIF($E$4:$E$6,"saturdays",$J$4:$J$6)/SUMIF($E$4:$E$6,"saturdays",$H$4:$H$6)</f>
        <v>119.04087963419849</v>
      </c>
      <c r="M10" s="21"/>
      <c r="N10" s="21"/>
    </row>
    <row r="11" spans="1:14" ht="15.75" thickBot="1" x14ac:dyDescent="0.3">
      <c r="A11" s="21"/>
      <c r="B11" s="21"/>
      <c r="C11" s="21"/>
      <c r="D11" s="21"/>
      <c r="E11" s="21"/>
      <c r="F11" s="64">
        <f>COUNTIF($E$4, "Sundays")</f>
        <v>0</v>
      </c>
      <c r="G11" s="103" t="s">
        <v>11</v>
      </c>
      <c r="H11" s="104">
        <f>AVERAGEIF($E$4:$E$7,"Sundays",K3:K7)</f>
        <v>119.04087963419849</v>
      </c>
      <c r="I11" s="105">
        <f>H11*1.2</f>
        <v>142.84905556103817</v>
      </c>
      <c r="J11" s="106">
        <f>H11*1.35</f>
        <v>160.70518750616796</v>
      </c>
      <c r="K11" s="107">
        <f>H11*1.6</f>
        <v>190.46540741471759</v>
      </c>
      <c r="L11" s="74">
        <f>+SUMIF($E$4:$E$6,"Sundays",$J$4:$J$6)/SUMIF($E$4:$E$6,"Sundays",$H$4:$H$6)</f>
        <v>119.04087924688824</v>
      </c>
      <c r="M11" s="21"/>
      <c r="N11" s="21"/>
    </row>
    <row r="12" spans="1:14" ht="15.75" thickBot="1" x14ac:dyDescent="0.3">
      <c r="A12" s="21"/>
      <c r="B12" s="21"/>
      <c r="C12" s="21"/>
      <c r="D12" s="21"/>
      <c r="E12" s="21"/>
      <c r="F12" s="21"/>
      <c r="G12" s="95" t="s">
        <v>55</v>
      </c>
      <c r="H12" s="71">
        <v>70</v>
      </c>
      <c r="I12" s="72"/>
      <c r="J12" s="72"/>
      <c r="K12" s="73"/>
      <c r="L12" s="74">
        <f>+SUM($J$4)/SUM($H$4)</f>
        <v>119.04087985357801</v>
      </c>
      <c r="M12" s="21"/>
      <c r="N12" s="21"/>
    </row>
  </sheetData>
  <mergeCells count="1">
    <mergeCell ref="A2:M2"/>
  </mergeCells>
  <conditionalFormatting sqref="L1">
    <cfRule type="cellIs" dxfId="19" priority="2" operator="greaterThan">
      <formula>1.6</formula>
    </cfRule>
  </conditionalFormatting>
  <conditionalFormatting sqref="M4">
    <cfRule type="cellIs" dxfId="18" priority="15" operator="lessThan">
      <formula>#REF!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D36E6-FDBF-4BB8-A6F8-7E72BCBE2BBB}">
  <sheetPr>
    <pageSetUpPr autoPageBreaks="0"/>
  </sheetPr>
  <dimension ref="A1:P89"/>
  <sheetViews>
    <sheetView zoomScaleNormal="100" workbookViewId="0">
      <selection activeCell="I8" sqref="I8"/>
    </sheetView>
  </sheetViews>
  <sheetFormatPr defaultRowHeight="15" x14ac:dyDescent="0.25"/>
  <cols>
    <col min="1" max="1" width="20.7109375" customWidth="1"/>
    <col min="2" max="2" width="9.7109375" customWidth="1"/>
    <col min="3" max="3" width="14" customWidth="1"/>
    <col min="4" max="4" width="13.7109375" customWidth="1"/>
    <col min="5" max="5" width="13.28515625" customWidth="1"/>
    <col min="6" max="8" width="12.42578125" customWidth="1"/>
    <col min="9" max="11" width="11.7109375" customWidth="1"/>
    <col min="12" max="12" width="14.28515625" bestFit="1" customWidth="1"/>
    <col min="13" max="14" width="14.140625" customWidth="1"/>
    <col min="15" max="15" width="13" customWidth="1"/>
    <col min="16" max="16" width="44.7109375" style="6" customWidth="1"/>
  </cols>
  <sheetData>
    <row r="1" spans="1:16" ht="22.5" x14ac:dyDescent="0.45">
      <c r="A1" s="13" t="s">
        <v>51</v>
      </c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O1" s="14"/>
      <c r="P1" s="17"/>
    </row>
    <row r="2" spans="1:16" ht="37.5" thickBot="1" x14ac:dyDescent="0.75">
      <c r="A2" s="333" t="s">
        <v>97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</row>
    <row r="3" spans="1:16" s="6" customFormat="1" ht="75.75" thickBot="1" x14ac:dyDescent="0.3">
      <c r="A3" s="111" t="s">
        <v>7</v>
      </c>
      <c r="B3" s="157" t="s">
        <v>65</v>
      </c>
      <c r="C3" s="158" t="s">
        <v>74</v>
      </c>
      <c r="D3" s="159" t="s">
        <v>0</v>
      </c>
      <c r="E3" s="159" t="s">
        <v>75</v>
      </c>
      <c r="F3" s="160" t="s">
        <v>2</v>
      </c>
      <c r="G3" s="160" t="s">
        <v>32</v>
      </c>
      <c r="H3" s="160" t="s">
        <v>34</v>
      </c>
      <c r="I3" s="161" t="s">
        <v>73</v>
      </c>
      <c r="J3" s="161" t="s">
        <v>33</v>
      </c>
      <c r="K3" s="162" t="s">
        <v>13</v>
      </c>
      <c r="L3" s="163" t="s">
        <v>64</v>
      </c>
      <c r="M3" s="164" t="s">
        <v>86</v>
      </c>
      <c r="N3" s="164" t="s">
        <v>88</v>
      </c>
      <c r="O3" s="163" t="s">
        <v>36</v>
      </c>
      <c r="P3" s="165" t="s">
        <v>37</v>
      </c>
    </row>
    <row r="4" spans="1:16" ht="15.75" x14ac:dyDescent="0.25">
      <c r="A4" s="247" t="s">
        <v>61</v>
      </c>
      <c r="B4" s="249"/>
      <c r="C4" s="331" t="s">
        <v>78</v>
      </c>
      <c r="D4" s="249" t="s">
        <v>77</v>
      </c>
      <c r="E4" s="249" t="s">
        <v>27</v>
      </c>
      <c r="F4" s="250">
        <v>1528367.06</v>
      </c>
      <c r="G4" s="250">
        <v>120211.88</v>
      </c>
      <c r="H4" s="251">
        <v>47218</v>
      </c>
      <c r="I4" s="252">
        <v>15266.48</v>
      </c>
      <c r="J4" s="284">
        <f>+F4-G4</f>
        <v>1408155.1800000002</v>
      </c>
      <c r="K4" s="285">
        <f>J4/H4</f>
        <v>29.822423228429841</v>
      </c>
      <c r="L4" s="286">
        <f>+IF(E4="Weekdays",K4/$G$18,IF(E4="Saturdays",K4/$G$19,IF(E4="Sundays",K4/$G$20,"NA")))</f>
        <v>0.82247610262435911</v>
      </c>
      <c r="M4" s="254">
        <f>G4/F4</f>
        <v>7.8653801921117039E-2</v>
      </c>
      <c r="N4" s="254">
        <f>+IF(E4="Weekdays",M4/$G$25,IF(E4="Saturdays",M4/$G$26,IF(E4="Sundays",M4/$G$27,"NA")))</f>
        <v>1.39475889519142</v>
      </c>
      <c r="O4" s="287">
        <f>ROUND(H4/I4,1)</f>
        <v>3.1</v>
      </c>
      <c r="P4" s="357"/>
    </row>
    <row r="5" spans="1:16" ht="15.75" x14ac:dyDescent="0.25">
      <c r="A5" s="184" t="s">
        <v>8</v>
      </c>
      <c r="B5" s="341"/>
      <c r="C5" s="353" t="s">
        <v>30</v>
      </c>
      <c r="D5" s="341" t="s">
        <v>77</v>
      </c>
      <c r="E5" s="341" t="s">
        <v>27</v>
      </c>
      <c r="F5" s="343">
        <v>4567156.1500000004</v>
      </c>
      <c r="G5" s="343">
        <v>323825.84000000003</v>
      </c>
      <c r="H5" s="344">
        <v>119226</v>
      </c>
      <c r="I5" s="345">
        <v>38563.839999999997</v>
      </c>
      <c r="J5" s="343">
        <f>+F5-G5</f>
        <v>4243330.3100000005</v>
      </c>
      <c r="K5" s="346">
        <f>J5/H5</f>
        <v>35.590645580661942</v>
      </c>
      <c r="L5" s="189">
        <f>+IF(E5="Weekdays",K5/$G$18,IF(E5="Saturdays",K5/$G$19,IF(E5="Sundays",K5/$G$20,"NA")))</f>
        <v>0.98155858237442462</v>
      </c>
      <c r="M5" s="181">
        <f>G5/F5</f>
        <v>7.090316804692566E-2</v>
      </c>
      <c r="N5" s="181">
        <f>+IF(E5="Weekdays",M5/$G$25,IF(E5="Saturdays",M5/$G$26,IF(E5="Sundays",M5/$G$27,"NA")))</f>
        <v>1.2573177890355838</v>
      </c>
      <c r="O5" s="349">
        <f>ROUND(H5/I5,1)</f>
        <v>3.1</v>
      </c>
      <c r="P5" s="155"/>
    </row>
    <row r="6" spans="1:16" x14ac:dyDescent="0.25">
      <c r="A6" s="184" t="s">
        <v>117</v>
      </c>
      <c r="B6" s="177"/>
      <c r="C6" s="329" t="s">
        <v>110</v>
      </c>
      <c r="D6" s="177" t="s">
        <v>77</v>
      </c>
      <c r="E6" s="177" t="s">
        <v>27</v>
      </c>
      <c r="F6" s="233">
        <v>1062231.19</v>
      </c>
      <c r="G6" s="185">
        <v>15245.44</v>
      </c>
      <c r="H6" s="228">
        <v>50560</v>
      </c>
      <c r="I6" s="187">
        <v>9958</v>
      </c>
      <c r="J6" s="188">
        <f>+F6-G6</f>
        <v>1046985.75</v>
      </c>
      <c r="K6" s="180">
        <f>J6/H6</f>
        <v>20.707787776898734</v>
      </c>
      <c r="L6" s="189">
        <f>+IF(E6="Weekdays",K6/$G$18,IF(E6="Saturdays",K6/$G$19,IF(E6="Sundays",K6/$G$20,"NA")))</f>
        <v>0.57110250412111574</v>
      </c>
      <c r="M6" s="181">
        <f>G6/F6</f>
        <v>1.4352280504962392E-2</v>
      </c>
      <c r="N6" s="181">
        <f>+IF(E6="Weekdays",M6/$G$25,IF(E6="Saturdays",M6/$G$26,IF(E6="Sundays",M6/$G$27,"NA")))</f>
        <v>0.25450735262174606</v>
      </c>
      <c r="O6" s="182">
        <f>ROUND(H6/I6,1)</f>
        <v>5.0999999999999996</v>
      </c>
      <c r="P6" s="155"/>
    </row>
    <row r="7" spans="1:16" s="175" customFormat="1" x14ac:dyDescent="0.25">
      <c r="A7" s="184" t="s">
        <v>28</v>
      </c>
      <c r="B7" s="177"/>
      <c r="C7" s="329" t="s">
        <v>26</v>
      </c>
      <c r="D7" s="177" t="s">
        <v>77</v>
      </c>
      <c r="E7" s="177" t="s">
        <v>27</v>
      </c>
      <c r="F7" s="185">
        <v>8351801.3499999996</v>
      </c>
      <c r="G7" s="185">
        <v>514975</v>
      </c>
      <c r="H7" s="228">
        <v>133016</v>
      </c>
      <c r="I7" s="187">
        <v>51885</v>
      </c>
      <c r="J7" s="188">
        <f>+F7-G7</f>
        <v>7836826.3499999996</v>
      </c>
      <c r="K7" s="180">
        <f>J7/H7</f>
        <v>58.916418701509592</v>
      </c>
      <c r="L7" s="189">
        <f>+IF(E7="Weekdays",K7/$G$18,IF(E7="Saturdays",K7/$G$19,IF(E7="Sundays",K7/$G$20,"NA")))</f>
        <v>1.6248628108801004</v>
      </c>
      <c r="M7" s="181">
        <f>G7/F7</f>
        <v>6.1660350673929762E-2</v>
      </c>
      <c r="N7" s="181">
        <f>+IF(E7="Weekdays",M7/$G$25,IF(E7="Saturdays",M7/$G$26,IF(E7="Sundays",M7/$G$27,"NA")))</f>
        <v>1.0934159631512499</v>
      </c>
      <c r="O7" s="182">
        <f>ROUND(H7/I7,1)</f>
        <v>2.6</v>
      </c>
      <c r="P7" s="155"/>
    </row>
    <row r="8" spans="1:16" s="175" customFormat="1" x14ac:dyDescent="0.25">
      <c r="A8" s="184" t="s">
        <v>61</v>
      </c>
      <c r="B8" s="177"/>
      <c r="C8" s="329" t="s">
        <v>78</v>
      </c>
      <c r="D8" s="177" t="s">
        <v>77</v>
      </c>
      <c r="E8" s="177" t="s">
        <v>60</v>
      </c>
      <c r="F8" s="185">
        <v>79431.34</v>
      </c>
      <c r="G8" s="185">
        <v>6247.58</v>
      </c>
      <c r="H8" s="186">
        <v>2251</v>
      </c>
      <c r="I8" s="187">
        <v>793.42</v>
      </c>
      <c r="J8" s="185">
        <f>+F8-G8</f>
        <v>73183.759999999995</v>
      </c>
      <c r="K8" s="180">
        <f>J8/H8</f>
        <v>32.511665926254999</v>
      </c>
      <c r="L8" s="189">
        <f>+IF(E8="Weekdays",K8/$G$18,IF(E8="Saturdays",K8/$G$19,IF(E8="Sundays",K8/$G$20,"NA")))</f>
        <v>1.0172980528865798</v>
      </c>
      <c r="M8" s="181">
        <f>G8/F8</f>
        <v>7.8653841166471575E-2</v>
      </c>
      <c r="N8" s="181">
        <f>+IF(E8="Weekdays",M8/$G$25,IF(E8="Saturdays",M8/$G$26,IF(E8="Sundays",M8/$G$27,"NA")))</f>
        <v>1.5409887201719179</v>
      </c>
      <c r="O8" s="182">
        <f>ROUND(H8/I8,1)</f>
        <v>2.8</v>
      </c>
      <c r="P8" s="155"/>
    </row>
    <row r="9" spans="1:16" x14ac:dyDescent="0.25">
      <c r="A9" s="184" t="s">
        <v>8</v>
      </c>
      <c r="B9" s="177"/>
      <c r="C9" s="329" t="s">
        <v>30</v>
      </c>
      <c r="D9" s="177" t="s">
        <v>77</v>
      </c>
      <c r="E9" s="177" t="s">
        <v>60</v>
      </c>
      <c r="F9" s="185">
        <v>796419.22</v>
      </c>
      <c r="G9" s="185">
        <v>50190.21</v>
      </c>
      <c r="H9" s="186">
        <v>18479</v>
      </c>
      <c r="I9" s="187">
        <v>6724.75</v>
      </c>
      <c r="J9" s="188">
        <f>+F9-G9</f>
        <v>746229.01</v>
      </c>
      <c r="K9" s="180">
        <f>J9/H9</f>
        <v>40.382542886519836</v>
      </c>
      <c r="L9" s="189">
        <f>+IF(E9="Weekdays",K9/$G$18,IF(E9="Saturdays",K9/$G$19,IF(E9="Sundays",K9/$G$20,"NA")))</f>
        <v>1.2635797360322329</v>
      </c>
      <c r="M9" s="181">
        <f>G9/F9</f>
        <v>6.3019837718130411E-2</v>
      </c>
      <c r="N9" s="181">
        <f>+IF(E9="Weekdays",M9/$G$25,IF(E9="Saturdays",M9/$G$26,IF(E9="Sundays",M9/$G$27,"NA")))</f>
        <v>1.2346867950818001</v>
      </c>
      <c r="O9" s="182">
        <f>ROUND(H9/I9,1)</f>
        <v>2.7</v>
      </c>
      <c r="P9" s="155"/>
    </row>
    <row r="10" spans="1:16" x14ac:dyDescent="0.25">
      <c r="A10" s="184" t="s">
        <v>117</v>
      </c>
      <c r="B10" s="341"/>
      <c r="C10" s="352" t="s">
        <v>110</v>
      </c>
      <c r="D10" s="341" t="s">
        <v>77</v>
      </c>
      <c r="E10" s="341" t="s">
        <v>60</v>
      </c>
      <c r="F10" s="343">
        <v>189661.28</v>
      </c>
      <c r="G10" s="343">
        <v>2171.58</v>
      </c>
      <c r="H10" s="344">
        <v>8158</v>
      </c>
      <c r="I10" s="345">
        <v>1778</v>
      </c>
      <c r="J10" s="343">
        <f>+F10-G10</f>
        <v>187489.7</v>
      </c>
      <c r="K10" s="346">
        <f>J10/H10</f>
        <v>22.982311841137534</v>
      </c>
      <c r="L10" s="189">
        <f>+IF(E10="Weekdays",K10/$G$18,IF(E10="Saturdays",K10/$G$19,IF(E10="Sundays",K10/$G$20,"NA")))</f>
        <v>0.71912221108118746</v>
      </c>
      <c r="M10" s="181">
        <f>G10/F10</f>
        <v>1.1449780366345729E-2</v>
      </c>
      <c r="N10" s="181">
        <f>+IF(E10="Weekdays",M10/$G$25,IF(E10="Saturdays",M10/$G$26,IF(E10="Sundays",M10/$G$27,"NA")))</f>
        <v>0.22432448474628225</v>
      </c>
      <c r="O10" s="349">
        <f>ROUND(H10/I10,1)</f>
        <v>4.5999999999999996</v>
      </c>
      <c r="P10" s="155"/>
    </row>
    <row r="11" spans="1:16" ht="15.75" x14ac:dyDescent="0.25">
      <c r="A11" s="184" t="s">
        <v>61</v>
      </c>
      <c r="B11" s="177"/>
      <c r="C11" s="332" t="s">
        <v>78</v>
      </c>
      <c r="D11" s="177" t="s">
        <v>77</v>
      </c>
      <c r="E11" s="177" t="s">
        <v>59</v>
      </c>
      <c r="F11" s="185">
        <v>126777.60000000001</v>
      </c>
      <c r="G11" s="185">
        <v>9971.5400000000009</v>
      </c>
      <c r="H11" s="186">
        <v>3956</v>
      </c>
      <c r="I11" s="187">
        <v>1266.3499999999999</v>
      </c>
      <c r="J11" s="188">
        <f>+F11-G11</f>
        <v>116806.06</v>
      </c>
      <c r="K11" s="180">
        <f>J11/H11</f>
        <v>29.526304347826088</v>
      </c>
      <c r="L11" s="189">
        <f>+IF(E11="Weekdays",K11/$G$18,IF(E11="Saturdays",K11/$G$19,IF(E11="Sundays",K11/$G$20,"NA")))</f>
        <v>1.1091434152496382</v>
      </c>
      <c r="M11" s="181">
        <f>G11/F11</f>
        <v>7.8653800040385691E-2</v>
      </c>
      <c r="N11" s="181">
        <f>+IF(E11="Weekdays",M11/$G$25,IF(E11="Saturdays",M11/$G$26,IF(E11="Sundays",M11/$G$27,"NA")))</f>
        <v>0.95537477547502381</v>
      </c>
      <c r="O11" s="182">
        <f>ROUND(H11/I11,1)</f>
        <v>3.1</v>
      </c>
      <c r="P11" s="190"/>
    </row>
    <row r="12" spans="1:16" ht="15.75" x14ac:dyDescent="0.25">
      <c r="A12" s="184" t="s">
        <v>8</v>
      </c>
      <c r="B12" s="177"/>
      <c r="C12" s="332" t="s">
        <v>30</v>
      </c>
      <c r="D12" s="177" t="s">
        <v>77</v>
      </c>
      <c r="E12" s="212" t="s">
        <v>59</v>
      </c>
      <c r="F12" s="185">
        <v>807499.63</v>
      </c>
      <c r="G12" s="282">
        <v>56333.95</v>
      </c>
      <c r="H12" s="228">
        <v>20741</v>
      </c>
      <c r="I12" s="187">
        <v>6818.31</v>
      </c>
      <c r="J12" s="188">
        <f>+F12-G12</f>
        <v>751165.68</v>
      </c>
      <c r="K12" s="180">
        <f>J12/H12</f>
        <v>36.216464008485609</v>
      </c>
      <c r="L12" s="189">
        <f>+IF(E12="Weekdays",K12/$G$18,IF(E12="Saturdays",K12/$G$19,IF(E12="Sundays",K12/$G$20,"NA")))</f>
        <v>1.3604564968725876</v>
      </c>
      <c r="M12" s="181">
        <f>G12/F12</f>
        <v>6.9763437538664874E-2</v>
      </c>
      <c r="N12" s="181">
        <f>+IF(E12="Weekdays",M12/$G$25,IF(E12="Saturdays",M12/$G$26,IF(E12="Sundays",M12/$G$27,"NA")))</f>
        <v>0.84738726470489001</v>
      </c>
      <c r="O12" s="182">
        <f>ROUND(H12/I12,1)</f>
        <v>3</v>
      </c>
      <c r="P12" s="155"/>
    </row>
    <row r="13" spans="1:16" x14ac:dyDescent="0.25">
      <c r="A13" s="184" t="s">
        <v>117</v>
      </c>
      <c r="B13" s="177"/>
      <c r="C13" s="329" t="s">
        <v>110</v>
      </c>
      <c r="D13" s="177" t="s">
        <v>77</v>
      </c>
      <c r="E13" s="177" t="s">
        <v>59</v>
      </c>
      <c r="F13" s="233">
        <v>187634.53</v>
      </c>
      <c r="G13" s="185">
        <v>2341.9699999999998</v>
      </c>
      <c r="H13" s="228">
        <v>8569</v>
      </c>
      <c r="I13" s="187">
        <v>1759</v>
      </c>
      <c r="J13" s="188">
        <f>+F13-G13</f>
        <v>185292.56</v>
      </c>
      <c r="K13" s="180">
        <f>J13/H13</f>
        <v>21.62359201773836</v>
      </c>
      <c r="L13" s="189">
        <f>+IF(E13="Weekdays",K13/$G$18,IF(E13="Saturdays",K13/$G$19,IF(E13="Sundays",K13/$G$20,"NA")))</f>
        <v>0.81228129392647708</v>
      </c>
      <c r="M13" s="181">
        <f>G13/F13</f>
        <v>1.2481551236864556E-2</v>
      </c>
      <c r="N13" s="181">
        <f>+IF(E13="Weekdays",M13/$G$25,IF(E13="Saturdays",M13/$G$26,IF(E13="Sundays",M13/$G$27,"NA")))</f>
        <v>0.15160817664723991</v>
      </c>
      <c r="O13" s="182">
        <f>ROUND(H13/I13,1)</f>
        <v>4.9000000000000004</v>
      </c>
      <c r="P13" s="155"/>
    </row>
    <row r="14" spans="1:16" ht="15.75" thickBot="1" x14ac:dyDescent="0.3">
      <c r="A14" s="237" t="s">
        <v>28</v>
      </c>
      <c r="B14" s="239"/>
      <c r="C14" s="283" t="s">
        <v>26</v>
      </c>
      <c r="D14" s="239" t="s">
        <v>77</v>
      </c>
      <c r="E14" s="239" t="s">
        <v>59</v>
      </c>
      <c r="F14" s="354">
        <v>342665.65</v>
      </c>
      <c r="G14" s="240">
        <v>57709</v>
      </c>
      <c r="H14" s="355">
        <v>14906</v>
      </c>
      <c r="I14" s="242">
        <v>5505</v>
      </c>
      <c r="J14" s="356">
        <f>+F14-G14</f>
        <v>284956.65000000002</v>
      </c>
      <c r="K14" s="288">
        <f>J14/H14</f>
        <v>19.116909298269157</v>
      </c>
      <c r="L14" s="289">
        <f>+IF(E14="Weekdays",K14/$G$18,IF(E14="Saturdays",K14/$G$19,IF(E14="Sundays",K14/$G$20,"NA")))</f>
        <v>0.7181187939512973</v>
      </c>
      <c r="M14" s="259">
        <f>G14/F14</f>
        <v>0.16841197826511059</v>
      </c>
      <c r="N14" s="259">
        <f>+IF(E14="Weekdays",M14/$G$25,IF(E14="Saturdays",M14/$G$26,IF(E14="Sundays",M14/$G$27,"NA")))</f>
        <v>2.0456297831728465</v>
      </c>
      <c r="O14" s="290">
        <f>ROUND(H14/I14,1)</f>
        <v>2.7</v>
      </c>
      <c r="P14" s="166"/>
    </row>
    <row r="15" spans="1:16" x14ac:dyDescent="0.25">
      <c r="A15" s="21"/>
      <c r="B15" s="21"/>
      <c r="C15" s="108"/>
      <c r="D15" s="21"/>
      <c r="E15" s="21"/>
      <c r="F15" s="23"/>
      <c r="G15" s="23"/>
      <c r="H15" s="28"/>
      <c r="I15" s="28"/>
      <c r="J15" s="23"/>
      <c r="K15" s="24"/>
      <c r="L15" s="80"/>
      <c r="M15" s="47"/>
      <c r="N15" s="47"/>
      <c r="O15" s="26"/>
      <c r="P15" s="19"/>
    </row>
    <row r="16" spans="1:16" ht="15.75" thickBot="1" x14ac:dyDescent="0.3">
      <c r="A16" s="21"/>
      <c r="B16" s="21"/>
      <c r="C16" s="21"/>
      <c r="D16" s="21"/>
      <c r="E16" s="335" t="s">
        <v>87</v>
      </c>
      <c r="F16" s="335"/>
      <c r="G16" s="335"/>
      <c r="H16" s="335"/>
      <c r="I16" s="335"/>
      <c r="J16" s="335"/>
      <c r="K16" s="335"/>
      <c r="L16" s="21"/>
      <c r="M16" s="47"/>
      <c r="N16" s="47"/>
      <c r="O16" s="21"/>
    </row>
    <row r="17" spans="1:15" ht="36" x14ac:dyDescent="0.25">
      <c r="A17" s="21"/>
      <c r="B17" s="24"/>
      <c r="C17" s="21"/>
      <c r="D17" s="21"/>
      <c r="E17" s="48" t="s">
        <v>57</v>
      </c>
      <c r="F17" s="75" t="s">
        <v>38</v>
      </c>
      <c r="G17" s="76" t="s">
        <v>39</v>
      </c>
      <c r="H17" s="76" t="s">
        <v>40</v>
      </c>
      <c r="I17" s="76" t="s">
        <v>41</v>
      </c>
      <c r="J17" s="77" t="s">
        <v>42</v>
      </c>
      <c r="K17" s="51" t="s">
        <v>56</v>
      </c>
      <c r="L17" s="21"/>
      <c r="M17" s="47"/>
      <c r="N17" s="47"/>
      <c r="O17" s="21"/>
    </row>
    <row r="18" spans="1:15" x14ac:dyDescent="0.25">
      <c r="A18" s="21"/>
      <c r="B18" s="24"/>
      <c r="C18" s="21"/>
      <c r="D18" s="21"/>
      <c r="E18" s="52">
        <f>COUNTIF($E$4:$E$14,"Weekdays")+COUNTIF(E4:E14,"All Days")+COUNTIF(E4:E14,"Weekday/Sat")</f>
        <v>4</v>
      </c>
      <c r="F18" s="89" t="s">
        <v>27</v>
      </c>
      <c r="G18" s="90">
        <f>(SUMIF(E4:E14,"Weekdays",K4:K14)+SUMIF(E4:E14,"All Day",K4:K14)+SUMIF(E4:E14,"Weekday/Sat",K4:K14))/E18</f>
        <v>36.259318821875027</v>
      </c>
      <c r="H18" s="91">
        <f>G18*1.2</f>
        <v>43.51118258625003</v>
      </c>
      <c r="I18" s="92">
        <f>G18*1.35</f>
        <v>48.950080409531289</v>
      </c>
      <c r="J18" s="119">
        <f>G18*1.6</f>
        <v>58.014910115000049</v>
      </c>
      <c r="K18" s="58">
        <f>+SUMIF($E$4:$E$14,"Weekdays",$J$4:$J$14)/SUMIF($E$4:$E$14,"Weekdays",$H$4:$H$14)</f>
        <v>41.527048711502196</v>
      </c>
      <c r="L18" s="21"/>
      <c r="M18" s="78"/>
      <c r="N18" s="47"/>
      <c r="O18" s="21"/>
    </row>
    <row r="19" spans="1:15" x14ac:dyDescent="0.25">
      <c r="A19" s="21"/>
      <c r="B19" s="24"/>
      <c r="C19" s="21"/>
      <c r="D19" s="21"/>
      <c r="E19" s="52">
        <f>COUNTIF($E$4:$E$14, "Saturdays")</f>
        <v>4</v>
      </c>
      <c r="F19" s="89" t="s">
        <v>59</v>
      </c>
      <c r="G19" s="90">
        <f>AVERAGEIF($E$4:$E$14,"Saturdays",K4:K14)</f>
        <v>26.620817418079803</v>
      </c>
      <c r="H19" s="91">
        <f>G19*1.2</f>
        <v>31.944980901695761</v>
      </c>
      <c r="I19" s="92">
        <f>G19*1.35</f>
        <v>35.938103514407736</v>
      </c>
      <c r="J19" s="93">
        <f>G19*1.6</f>
        <v>42.593307868927688</v>
      </c>
      <c r="K19" s="58">
        <f>+SUMIF($E$4:$E$14,"Saturdays",$J$4:$J$14)/SUMIF($E$4:$E$14,"Saturdays",$H$4:$H$14)</f>
        <v>27.780057917462429</v>
      </c>
      <c r="L19" s="21"/>
      <c r="M19" s="78"/>
      <c r="N19" s="47"/>
      <c r="O19" s="21"/>
    </row>
    <row r="20" spans="1:15" ht="15.75" thickBot="1" x14ac:dyDescent="0.3">
      <c r="A20" s="21"/>
      <c r="B20" s="21"/>
      <c r="C20" s="21"/>
      <c r="D20" s="21"/>
      <c r="E20" s="64">
        <f>COUNTIF($E$4:$E$14, "Sundays")</f>
        <v>3</v>
      </c>
      <c r="F20" s="89" t="s">
        <v>60</v>
      </c>
      <c r="G20" s="94">
        <f>AVERAGEIF($E$4:$E$14,"Sundays",K4:K14)</f>
        <v>31.958840217970788</v>
      </c>
      <c r="H20" s="91">
        <f>G20*1.2</f>
        <v>38.350608261564943</v>
      </c>
      <c r="I20" s="92">
        <f>G20*1.35</f>
        <v>43.14443429426057</v>
      </c>
      <c r="J20" s="93">
        <f>G20*1.6</f>
        <v>51.134144348753267</v>
      </c>
      <c r="K20" s="58">
        <f>+SUMIF($E$4:$E$14,"Sundays",$J$4:$J$14)/SUMIF($E$4:$E$14,"Sundays",$H$4:$H$14)</f>
        <v>34.855388742730547</v>
      </c>
      <c r="L20" s="21"/>
      <c r="M20" s="78"/>
      <c r="N20" s="47"/>
      <c r="O20" s="21"/>
    </row>
    <row r="21" spans="1:15" ht="15.75" thickBot="1" x14ac:dyDescent="0.3">
      <c r="A21" s="21"/>
      <c r="B21" s="21"/>
      <c r="C21" s="21"/>
      <c r="D21" s="21"/>
      <c r="E21" s="43"/>
      <c r="F21" s="89" t="s">
        <v>12</v>
      </c>
      <c r="G21" s="81">
        <f>AVERAGE(K4:K14)</f>
        <v>31.581551419430159</v>
      </c>
      <c r="H21" s="91">
        <f>G21*1.2</f>
        <v>37.897861703316188</v>
      </c>
      <c r="I21" s="92">
        <f>G21*1.35</f>
        <v>42.635094416230714</v>
      </c>
      <c r="J21" s="93">
        <f>G21*1.6</f>
        <v>50.53048227108826</v>
      </c>
      <c r="K21" s="58">
        <f>+SUM($J$4:$J$14)/SUM($H$4:$H$14)</f>
        <v>39.525196707876738</v>
      </c>
      <c r="L21" s="21"/>
      <c r="M21" s="47"/>
      <c r="N21" s="47"/>
      <c r="O21" s="21"/>
    </row>
    <row r="22" spans="1:15" ht="15.75" thickBot="1" x14ac:dyDescent="0.3">
      <c r="E22" s="21"/>
      <c r="F22" s="95" t="s">
        <v>55</v>
      </c>
      <c r="G22" s="71">
        <v>2</v>
      </c>
      <c r="H22" s="72"/>
      <c r="I22" s="72"/>
      <c r="J22" s="73"/>
      <c r="K22" s="74">
        <f>+SUM($J$4:$J$14)/SUM($H$4:$H$14)</f>
        <v>39.525196707876738</v>
      </c>
      <c r="M22" s="47"/>
      <c r="N22" s="47"/>
    </row>
    <row r="23" spans="1:15" ht="15.75" thickBot="1" x14ac:dyDescent="0.3">
      <c r="E23" s="337" t="s">
        <v>86</v>
      </c>
      <c r="F23" s="337"/>
      <c r="G23" s="337"/>
      <c r="H23" s="337"/>
      <c r="I23" s="337"/>
      <c r="J23" s="337"/>
      <c r="K23" s="337"/>
      <c r="M23" s="47"/>
      <c r="N23" s="47"/>
    </row>
    <row r="24" spans="1:15" ht="36" x14ac:dyDescent="0.25">
      <c r="E24" s="141"/>
      <c r="F24" s="48" t="s">
        <v>38</v>
      </c>
      <c r="G24" s="49" t="s">
        <v>39</v>
      </c>
      <c r="H24" s="49" t="s">
        <v>40</v>
      </c>
      <c r="I24" s="49" t="s">
        <v>41</v>
      </c>
      <c r="J24" s="50" t="s">
        <v>42</v>
      </c>
      <c r="K24" s="51" t="s">
        <v>56</v>
      </c>
      <c r="M24" s="47"/>
      <c r="N24" s="47"/>
    </row>
    <row r="25" spans="1:15" x14ac:dyDescent="0.25">
      <c r="E25" s="142"/>
      <c r="F25" s="53" t="s">
        <v>27</v>
      </c>
      <c r="G25" s="122">
        <f>AVERAGEIF($E$4:$E$89,"Weekdays",$M$4:$M$89)</f>
        <v>5.6392400286733715E-2</v>
      </c>
      <c r="H25" s="123">
        <f>G25*0.8</f>
        <v>4.5113920229386976E-2</v>
      </c>
      <c r="I25" s="124">
        <f>G25*0.65</f>
        <v>3.6655060186376917E-2</v>
      </c>
      <c r="J25" s="125">
        <f>G25*0.4</f>
        <v>2.2556960114693488E-2</v>
      </c>
      <c r="K25" s="130">
        <f>+SUMIF($E$4:$E$89,"Weekdays",$G$4:$G$89)/SUMIF($E$4:$E$89,"Weekdays",$F$4:$F$89)</f>
        <v>6.2816638703529604E-2</v>
      </c>
      <c r="M25" s="47"/>
      <c r="N25" s="47"/>
    </row>
    <row r="26" spans="1:15" x14ac:dyDescent="0.25">
      <c r="E26" s="142"/>
      <c r="F26" s="59" t="s">
        <v>59</v>
      </c>
      <c r="G26" s="126">
        <f>AVERAGEIF($E$4:$E$89,"Saturdays",$M$4:$M$89)</f>
        <v>8.2327691770256423E-2</v>
      </c>
      <c r="H26" s="127">
        <f>G26*0.8</f>
        <v>6.5862153416205146E-2</v>
      </c>
      <c r="I26" s="128">
        <f>G26*0.65</f>
        <v>5.3512999650666679E-2</v>
      </c>
      <c r="J26" s="129">
        <f>G26*0.4</f>
        <v>3.2931076708102573E-2</v>
      </c>
      <c r="K26" s="130">
        <f>+SUMIF($E$4:$E$89,"Saturdays",$G$4:$G$89)/SUMIF($E$4:$E$89,"Saturdays",$F$4:$F$89)</f>
        <v>8.6275030010192488E-2</v>
      </c>
      <c r="M26" s="47"/>
      <c r="N26" s="47"/>
    </row>
    <row r="27" spans="1:15" x14ac:dyDescent="0.25">
      <c r="E27" s="142"/>
      <c r="F27" s="65" t="s">
        <v>60</v>
      </c>
      <c r="G27" s="137">
        <f>AVERAGEIF($E$4:$E$89,"Sundays",$M$4:$M$89)</f>
        <v>5.1041153083649232E-2</v>
      </c>
      <c r="H27" s="138">
        <f>G27*0.8</f>
        <v>4.0832922466919386E-2</v>
      </c>
      <c r="I27" s="139">
        <f>G27*0.65</f>
        <v>3.3176749504372001E-2</v>
      </c>
      <c r="J27" s="140">
        <f>G27*0.4</f>
        <v>2.0416461233459693E-2</v>
      </c>
      <c r="K27" s="130">
        <f>+SUMIF($E$4:$E$89,"Sundays",$G$4:$G$89)/SUMIF($E$4:$E$89,"Sundays",$F$4:$F$89)</f>
        <v>5.5005836443825916E-2</v>
      </c>
      <c r="M27" s="47"/>
      <c r="N27" s="47"/>
    </row>
    <row r="28" spans="1:15" ht="15.75" thickBot="1" x14ac:dyDescent="0.3">
      <c r="E28" s="43"/>
      <c r="F28" s="84" t="s">
        <v>89</v>
      </c>
      <c r="G28" s="132">
        <f>AVERAGE(M4:M14)</f>
        <v>6.4363984316264389E-2</v>
      </c>
      <c r="H28" s="133">
        <f>G28*0.8</f>
        <v>5.1491187453011511E-2</v>
      </c>
      <c r="I28" s="134">
        <f>G28*0.65</f>
        <v>4.1836589805571853E-2</v>
      </c>
      <c r="J28" s="135">
        <f>G28*0.4</f>
        <v>2.5745593726505756E-2</v>
      </c>
      <c r="K28" s="131">
        <f>+SUM($G$4:$G$14)/SUM($F$4:$F$14)</f>
        <v>6.4259800567028902E-2</v>
      </c>
      <c r="M28" s="47"/>
      <c r="N28" s="47"/>
    </row>
    <row r="29" spans="1:15" x14ac:dyDescent="0.25">
      <c r="M29" s="47"/>
      <c r="N29" s="47"/>
    </row>
    <row r="30" spans="1:15" x14ac:dyDescent="0.25">
      <c r="M30" s="47"/>
      <c r="N30" s="47"/>
    </row>
    <row r="31" spans="1:15" x14ac:dyDescent="0.25">
      <c r="M31" s="47"/>
      <c r="N31" s="47"/>
    </row>
    <row r="32" spans="1:15" x14ac:dyDescent="0.25">
      <c r="M32" s="47"/>
      <c r="N32" s="47"/>
    </row>
    <row r="33" spans="13:14" x14ac:dyDescent="0.25">
      <c r="M33" s="47"/>
      <c r="N33" s="47"/>
    </row>
    <row r="34" spans="13:14" x14ac:dyDescent="0.25">
      <c r="M34" s="47"/>
      <c r="N34" s="47"/>
    </row>
    <row r="35" spans="13:14" x14ac:dyDescent="0.25">
      <c r="M35" s="47"/>
      <c r="N35" s="47"/>
    </row>
    <row r="36" spans="13:14" x14ac:dyDescent="0.25">
      <c r="M36" s="47"/>
      <c r="N36" s="47"/>
    </row>
    <row r="37" spans="13:14" x14ac:dyDescent="0.25">
      <c r="M37" s="47"/>
      <c r="N37" s="47"/>
    </row>
    <row r="38" spans="13:14" x14ac:dyDescent="0.25">
      <c r="M38" s="47"/>
      <c r="N38" s="47"/>
    </row>
    <row r="39" spans="13:14" x14ac:dyDescent="0.25">
      <c r="M39" s="47"/>
      <c r="N39" s="47"/>
    </row>
    <row r="40" spans="13:14" x14ac:dyDescent="0.25">
      <c r="M40" s="47"/>
      <c r="N40" s="47"/>
    </row>
    <row r="41" spans="13:14" x14ac:dyDescent="0.25">
      <c r="M41" s="47"/>
      <c r="N41" s="47"/>
    </row>
    <row r="42" spans="13:14" x14ac:dyDescent="0.25">
      <c r="M42" s="47"/>
      <c r="N42" s="47"/>
    </row>
    <row r="43" spans="13:14" x14ac:dyDescent="0.25">
      <c r="M43" s="47"/>
      <c r="N43" s="47"/>
    </row>
    <row r="44" spans="13:14" x14ac:dyDescent="0.25">
      <c r="M44" s="47"/>
      <c r="N44" s="47"/>
    </row>
    <row r="45" spans="13:14" x14ac:dyDescent="0.25">
      <c r="M45" s="47"/>
      <c r="N45" s="47"/>
    </row>
    <row r="46" spans="13:14" x14ac:dyDescent="0.25">
      <c r="M46" s="47"/>
      <c r="N46" s="47"/>
    </row>
    <row r="47" spans="13:14" x14ac:dyDescent="0.25">
      <c r="M47" s="47"/>
      <c r="N47" s="47"/>
    </row>
    <row r="48" spans="13:14" x14ac:dyDescent="0.25">
      <c r="M48" s="47"/>
      <c r="N48" s="47"/>
    </row>
    <row r="49" spans="13:14" x14ac:dyDescent="0.25">
      <c r="M49" s="47"/>
      <c r="N49" s="47"/>
    </row>
    <row r="50" spans="13:14" x14ac:dyDescent="0.25">
      <c r="M50" s="47"/>
      <c r="N50" s="47"/>
    </row>
    <row r="51" spans="13:14" x14ac:dyDescent="0.25">
      <c r="M51" s="47"/>
      <c r="N51" s="47"/>
    </row>
    <row r="52" spans="13:14" x14ac:dyDescent="0.25">
      <c r="M52" s="47"/>
      <c r="N52" s="47"/>
    </row>
    <row r="53" spans="13:14" x14ac:dyDescent="0.25">
      <c r="M53" s="47"/>
      <c r="N53" s="47"/>
    </row>
    <row r="54" spans="13:14" x14ac:dyDescent="0.25">
      <c r="M54" s="47"/>
      <c r="N54" s="47"/>
    </row>
    <row r="55" spans="13:14" x14ac:dyDescent="0.25">
      <c r="M55" s="47"/>
      <c r="N55" s="47"/>
    </row>
    <row r="56" spans="13:14" x14ac:dyDescent="0.25">
      <c r="M56" s="47"/>
      <c r="N56" s="47"/>
    </row>
    <row r="57" spans="13:14" x14ac:dyDescent="0.25">
      <c r="M57" s="47"/>
      <c r="N57" s="47"/>
    </row>
    <row r="58" spans="13:14" x14ac:dyDescent="0.25">
      <c r="M58" s="47"/>
      <c r="N58" s="47"/>
    </row>
    <row r="59" spans="13:14" x14ac:dyDescent="0.25">
      <c r="M59" s="47"/>
      <c r="N59" s="47"/>
    </row>
    <row r="60" spans="13:14" x14ac:dyDescent="0.25">
      <c r="M60" s="47"/>
      <c r="N60" s="47"/>
    </row>
    <row r="61" spans="13:14" x14ac:dyDescent="0.25">
      <c r="M61" s="47"/>
      <c r="N61" s="47"/>
    </row>
    <row r="62" spans="13:14" x14ac:dyDescent="0.25">
      <c r="M62" s="47"/>
      <c r="N62" s="47"/>
    </row>
    <row r="63" spans="13:14" x14ac:dyDescent="0.25">
      <c r="M63" s="47"/>
      <c r="N63" s="47"/>
    </row>
    <row r="64" spans="13:14" x14ac:dyDescent="0.25">
      <c r="M64" s="47"/>
      <c r="N64" s="47"/>
    </row>
    <row r="65" spans="13:14" x14ac:dyDescent="0.25">
      <c r="M65" s="47"/>
      <c r="N65" s="47"/>
    </row>
    <row r="66" spans="13:14" x14ac:dyDescent="0.25">
      <c r="M66" s="47"/>
      <c r="N66" s="47"/>
    </row>
    <row r="67" spans="13:14" x14ac:dyDescent="0.25">
      <c r="M67" s="47"/>
      <c r="N67" s="47"/>
    </row>
    <row r="68" spans="13:14" x14ac:dyDescent="0.25">
      <c r="M68" s="47"/>
      <c r="N68" s="47"/>
    </row>
    <row r="69" spans="13:14" x14ac:dyDescent="0.25">
      <c r="M69" s="47"/>
      <c r="N69" s="47"/>
    </row>
    <row r="70" spans="13:14" x14ac:dyDescent="0.25">
      <c r="M70" s="47"/>
      <c r="N70" s="47"/>
    </row>
    <row r="71" spans="13:14" x14ac:dyDescent="0.25">
      <c r="M71" s="47"/>
      <c r="N71" s="47"/>
    </row>
    <row r="72" spans="13:14" x14ac:dyDescent="0.25">
      <c r="M72" s="47"/>
      <c r="N72" s="47"/>
    </row>
    <row r="73" spans="13:14" x14ac:dyDescent="0.25">
      <c r="M73" s="47"/>
      <c r="N73" s="47"/>
    </row>
    <row r="74" spans="13:14" x14ac:dyDescent="0.25">
      <c r="M74" s="47"/>
      <c r="N74" s="47"/>
    </row>
    <row r="75" spans="13:14" x14ac:dyDescent="0.25">
      <c r="M75" s="47"/>
      <c r="N75" s="47"/>
    </row>
    <row r="76" spans="13:14" x14ac:dyDescent="0.25">
      <c r="M76" s="47"/>
      <c r="N76" s="47"/>
    </row>
    <row r="77" spans="13:14" x14ac:dyDescent="0.25">
      <c r="M77" s="47"/>
      <c r="N77" s="47"/>
    </row>
    <row r="78" spans="13:14" x14ac:dyDescent="0.25">
      <c r="M78" s="47"/>
      <c r="N78" s="47"/>
    </row>
    <row r="79" spans="13:14" x14ac:dyDescent="0.25">
      <c r="M79" s="47"/>
      <c r="N79" s="47"/>
    </row>
    <row r="80" spans="13:14" x14ac:dyDescent="0.25">
      <c r="M80" s="47"/>
      <c r="N80" s="47"/>
    </row>
    <row r="81" spans="13:14" x14ac:dyDescent="0.25">
      <c r="M81" s="47"/>
      <c r="N81" s="47"/>
    </row>
    <row r="82" spans="13:14" x14ac:dyDescent="0.25">
      <c r="M82" s="47"/>
      <c r="N82" s="47"/>
    </row>
    <row r="83" spans="13:14" x14ac:dyDescent="0.25">
      <c r="M83" s="47"/>
      <c r="N83" s="47"/>
    </row>
    <row r="84" spans="13:14" x14ac:dyDescent="0.25">
      <c r="M84" s="47"/>
      <c r="N84" s="47"/>
    </row>
    <row r="85" spans="13:14" x14ac:dyDescent="0.25">
      <c r="M85" s="47"/>
      <c r="N85" s="47"/>
    </row>
    <row r="86" spans="13:14" x14ac:dyDescent="0.25">
      <c r="M86" s="47"/>
      <c r="N86" s="47"/>
    </row>
    <row r="87" spans="13:14" x14ac:dyDescent="0.25">
      <c r="M87" s="47"/>
      <c r="N87" s="47"/>
    </row>
    <row r="88" spans="13:14" x14ac:dyDescent="0.25">
      <c r="M88" s="47"/>
      <c r="N88" s="47"/>
    </row>
    <row r="89" spans="13:14" x14ac:dyDescent="0.25">
      <c r="M89" s="47"/>
      <c r="N89" s="47"/>
    </row>
  </sheetData>
  <autoFilter ref="A3:P15" xr:uid="{7C6D36E6-FDBF-4BB8-A6F8-7E72BCBE2BBB}"/>
  <sortState xmlns:xlrd2="http://schemas.microsoft.com/office/spreadsheetml/2017/richdata2" ref="A4:P14">
    <sortCondition descending="1" ref="E4:E14"/>
    <sortCondition ref="C4:C14"/>
  </sortState>
  <mergeCells count="3">
    <mergeCell ref="A2:P2"/>
    <mergeCell ref="E16:K16"/>
    <mergeCell ref="E23:K23"/>
  </mergeCells>
  <conditionalFormatting sqref="A5:G6 F7:G8 A10:H13">
    <cfRule type="expression" dxfId="17" priority="20">
      <formula>(ROW(A5)-1)/3=ROUND((ROW(A5)-1)/3,0)</formula>
    </cfRule>
  </conditionalFormatting>
  <conditionalFormatting sqref="H5:H8">
    <cfRule type="expression" dxfId="16" priority="26">
      <formula>(ROW(H5)-1)/3=ROUND((ROW(H5)-1)/3,0)</formula>
    </cfRule>
  </conditionalFormatting>
  <conditionalFormatting sqref="L1">
    <cfRule type="cellIs" dxfId="15" priority="29" operator="greaterThan">
      <formula>1.6</formula>
    </cfRule>
  </conditionalFormatting>
  <conditionalFormatting sqref="L4:L14">
    <cfRule type="cellIs" dxfId="14" priority="11" operator="greaterThan">
      <formula>1.6</formula>
    </cfRule>
    <cfRule type="cellIs" dxfId="13" priority="15" operator="between">
      <formula>1.35</formula>
      <formula>1.6</formula>
    </cfRule>
    <cfRule type="cellIs" dxfId="12" priority="16" operator="between">
      <formula>1.2</formula>
      <formula>1.35</formula>
    </cfRule>
  </conditionalFormatting>
  <conditionalFormatting sqref="O4:O14">
    <cfRule type="cellIs" dxfId="11" priority="59" operator="lessThan">
      <formula>$G$22</formula>
    </cfRule>
  </conditionalFormatting>
  <pageMargins left="0.7" right="0.7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Table 1 Commuter &amp; Express Bus</vt:lpstr>
      <vt:lpstr>Table 2 Core Local Bus</vt:lpstr>
      <vt:lpstr>Table 3 Supporting Local Bus</vt:lpstr>
      <vt:lpstr>Table 4 Suburban Local Bus</vt:lpstr>
      <vt:lpstr>Table 5 Arterial BRT</vt:lpstr>
      <vt:lpstr>Table 6 Highway BRT</vt:lpstr>
      <vt:lpstr>Table 7 LRT</vt:lpstr>
      <vt:lpstr>Table 8 Commuter Rail</vt:lpstr>
      <vt:lpstr>Table 9 Microtransit</vt:lpstr>
      <vt:lpstr>Table 10 Dial-a-Ride</vt:lpstr>
      <vt:lpstr>Table 11 Vanpool</vt:lpstr>
      <vt:lpstr>All Routes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Harper, John</dc:creator>
  <cp:lastModifiedBy>Bobbitt, Bradley</cp:lastModifiedBy>
  <dcterms:created xsi:type="dcterms:W3CDTF">2023-11-09T14:29:36Z</dcterms:created>
  <dcterms:modified xsi:type="dcterms:W3CDTF">2025-10-28T20:49:36Z</dcterms:modified>
</cp:coreProperties>
</file>