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penad\OneDrive - Metropolitan Council\Route Analysis\2018 Final Draft\"/>
    </mc:Choice>
  </mc:AlternateContent>
  <xr:revisionPtr revIDLastSave="2444" documentId="13_ncr:1_{13A937AE-CB9C-43DE-BB38-DB066754A789}" xr6:coauthVersionLast="43" xr6:coauthVersionMax="43" xr10:uidLastSave="{2B42144F-7BCE-4893-86CA-4BA63D28EFA4}"/>
  <bookViews>
    <workbookView xWindow="-120" yWindow="-120" windowWidth="29040" windowHeight="17640" activeTab="9" xr2:uid="{779E4038-4292-4550-86BC-30F5226728BA}"/>
  </bookViews>
  <sheets>
    <sheet name="Table 1 Commuter &amp; Express Bus" sheetId="4" r:id="rId1"/>
    <sheet name="Table 2 Core Local" sheetId="5" r:id="rId2"/>
    <sheet name="Table 3 Supporting Local" sheetId="6" r:id="rId3"/>
    <sheet name="Table 4 Suburban Local" sheetId="7" r:id="rId4"/>
    <sheet name="Table 5 Arterial BRT" sheetId="20" r:id="rId5"/>
    <sheet name="Table 6 Highway BRT" sheetId="13" r:id="rId6"/>
    <sheet name="Table 7 Light Rail Transit" sheetId="14" r:id="rId7"/>
    <sheet name="Table 8 Commuter Rail" sheetId="15" r:id="rId8"/>
    <sheet name="Table 9 Dial-a-Ride" sheetId="16" r:id="rId9"/>
    <sheet name="Summary of all routes" sheetId="1" r:id="rId10"/>
    <sheet name="Pivot 3" sheetId="26" state="hidden" r:id="rId11"/>
    <sheet name="Tables for summary document (Ol" sheetId="17" state="hidden" r:id="rId12"/>
    <sheet name="Pivot Summary 2" sheetId="23" state="hidden" r:id="rId13"/>
    <sheet name="Pivot2" sheetId="22" state="hidden" r:id="rId14"/>
    <sheet name="Pivot Old" sheetId="21" state="hidden" r:id="rId15"/>
    <sheet name="Subsidy and PPISH tables Old" sheetId="25" state="hidden" r:id="rId16"/>
  </sheets>
  <externalReferences>
    <externalReference r:id="rId17"/>
  </externalReferences>
  <definedNames>
    <definedName name="_xlnm._FilterDatabase" localSheetId="9" hidden="1">'Summary of all routes'!$A$1:$K$357</definedName>
    <definedName name="_xlnm._FilterDatabase" localSheetId="0" hidden="1">'Table 1 Commuter &amp; Express Bus'!$A$1:$N$132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5" i="5" l="1"/>
  <c r="J11" i="16"/>
  <c r="G105" i="25"/>
  <c r="H104" i="25" s="1"/>
  <c r="G104" i="25"/>
  <c r="H103" i="25"/>
  <c r="G103" i="25"/>
  <c r="H102" i="25" s="1"/>
  <c r="G101" i="25"/>
  <c r="H100" i="25"/>
  <c r="G100" i="25"/>
  <c r="H99" i="25" s="1"/>
  <c r="G99" i="25"/>
  <c r="H98" i="25"/>
  <c r="G97" i="25"/>
  <c r="H96" i="25" s="1"/>
  <c r="G96" i="25"/>
  <c r="H95" i="25"/>
  <c r="G95" i="25"/>
  <c r="H94" i="25" s="1"/>
  <c r="G93" i="25"/>
  <c r="H92" i="25"/>
  <c r="G92" i="25"/>
  <c r="H91" i="25" s="1"/>
  <c r="G91" i="25"/>
  <c r="H90" i="25"/>
  <c r="G89" i="25"/>
  <c r="H88" i="25" s="1"/>
  <c r="G88" i="25"/>
  <c r="H87" i="25"/>
  <c r="G87" i="25"/>
  <c r="H86" i="25" s="1"/>
  <c r="G85" i="25"/>
  <c r="H84" i="25"/>
  <c r="G84" i="25"/>
  <c r="H83" i="25" s="1"/>
  <c r="G83" i="25"/>
  <c r="H82" i="25"/>
  <c r="G81" i="25"/>
  <c r="H80" i="25" s="1"/>
  <c r="G80" i="25"/>
  <c r="H79" i="25"/>
  <c r="G79" i="25"/>
  <c r="H78" i="25" s="1"/>
  <c r="G77" i="25"/>
  <c r="H76" i="25"/>
  <c r="G76" i="25"/>
  <c r="H75" i="25" s="1"/>
  <c r="G75" i="25"/>
  <c r="H74" i="25"/>
  <c r="G73" i="25"/>
  <c r="H72" i="25" s="1"/>
  <c r="G72" i="25"/>
  <c r="H71" i="25"/>
  <c r="G71" i="25"/>
  <c r="H70" i="25" s="1"/>
  <c r="G69" i="25"/>
  <c r="H68" i="25"/>
  <c r="G68" i="25"/>
  <c r="H67" i="25" s="1"/>
  <c r="G67" i="25"/>
  <c r="H66" i="25"/>
  <c r="G65" i="25"/>
  <c r="H64" i="25" s="1"/>
  <c r="G64" i="25"/>
  <c r="H63" i="25"/>
  <c r="G63" i="25"/>
  <c r="H62" i="25" s="1"/>
  <c r="G61" i="25"/>
  <c r="H60" i="25"/>
  <c r="G60" i="25"/>
  <c r="H59" i="25" s="1"/>
  <c r="G59" i="25"/>
  <c r="H58" i="25"/>
  <c r="G57" i="25"/>
  <c r="H56" i="25" s="1"/>
  <c r="G56" i="25"/>
  <c r="H55" i="25"/>
  <c r="G55" i="25"/>
  <c r="H54" i="25" s="1"/>
  <c r="G53" i="25"/>
  <c r="H52" i="25"/>
  <c r="G52" i="25"/>
  <c r="H51" i="25" s="1"/>
  <c r="G51" i="25"/>
  <c r="H50" i="25" s="1"/>
  <c r="I50" i="25"/>
  <c r="G49" i="25"/>
  <c r="H48" i="25"/>
  <c r="G48" i="25"/>
  <c r="H47" i="25" s="1"/>
  <c r="G47" i="25"/>
  <c r="I46" i="25"/>
  <c r="H46" i="25"/>
  <c r="G45" i="25"/>
  <c r="H44" i="25" s="1"/>
  <c r="G44" i="25"/>
  <c r="H43" i="25"/>
  <c r="G43" i="25"/>
  <c r="I42" i="25"/>
  <c r="H42" i="25"/>
  <c r="G41" i="25"/>
  <c r="H40" i="25" s="1"/>
  <c r="G40" i="25"/>
  <c r="H39" i="25"/>
  <c r="G39" i="25"/>
  <c r="H38" i="25" s="1"/>
  <c r="I38" i="25"/>
  <c r="G37" i="25"/>
  <c r="H36" i="25"/>
  <c r="G36" i="25"/>
  <c r="H35" i="25" s="1"/>
  <c r="G35" i="25"/>
  <c r="H34" i="25" s="1"/>
  <c r="I34" i="25"/>
  <c r="G33" i="25"/>
  <c r="H32" i="25"/>
  <c r="G32" i="25"/>
  <c r="H31" i="25" s="1"/>
  <c r="G31" i="25"/>
  <c r="I30" i="25"/>
  <c r="H30" i="25"/>
  <c r="G29" i="25"/>
  <c r="H28" i="25" s="1"/>
  <c r="G28" i="25"/>
  <c r="H27" i="25"/>
  <c r="G27" i="25"/>
  <c r="I26" i="25"/>
  <c r="H26" i="25"/>
  <c r="G25" i="25"/>
  <c r="H24" i="25" s="1"/>
  <c r="G24" i="25"/>
  <c r="H23" i="25"/>
  <c r="G23" i="25"/>
  <c r="H22" i="25" s="1"/>
  <c r="I22" i="25"/>
  <c r="G21" i="25"/>
  <c r="H20" i="25"/>
  <c r="G20" i="25"/>
  <c r="H19" i="25" s="1"/>
  <c r="G19" i="25"/>
  <c r="H18" i="25" s="1"/>
  <c r="I18" i="25"/>
  <c r="G17" i="25"/>
  <c r="H16" i="25"/>
  <c r="G16" i="25"/>
  <c r="H15" i="25" s="1"/>
  <c r="G15" i="25"/>
  <c r="H14" i="25"/>
  <c r="G13" i="25"/>
  <c r="H12" i="25" s="1"/>
  <c r="L12" i="25"/>
  <c r="G12" i="25"/>
  <c r="H11" i="25"/>
  <c r="G11" i="25"/>
  <c r="H10" i="25" s="1"/>
  <c r="G9" i="25"/>
  <c r="H8" i="25" s="1"/>
  <c r="L8" i="25"/>
  <c r="G8" i="25"/>
  <c r="H7" i="25"/>
  <c r="G7" i="25"/>
  <c r="H6" i="25" s="1"/>
  <c r="I6" i="25"/>
  <c r="F26" i="1" l="1"/>
  <c r="F88" i="1"/>
  <c r="F36" i="1"/>
  <c r="K355" i="1" l="1"/>
  <c r="K356" i="1"/>
  <c r="K357" i="1"/>
  <c r="G355" i="1"/>
  <c r="G356" i="1"/>
  <c r="G357" i="1"/>
  <c r="J7" i="16" l="1"/>
  <c r="L7" i="16"/>
  <c r="G7" i="16"/>
  <c r="G8" i="16" l="1"/>
  <c r="G6" i="16"/>
  <c r="G5" i="16"/>
  <c r="E4" i="16"/>
  <c r="G4" i="16" s="1"/>
  <c r="G6" i="15" l="1"/>
  <c r="G5" i="15"/>
  <c r="G4" i="15"/>
  <c r="G9" i="14"/>
  <c r="G8" i="14"/>
  <c r="G7" i="14"/>
  <c r="G6" i="14"/>
  <c r="G5" i="14"/>
  <c r="G4" i="14"/>
  <c r="L67" i="7" l="1"/>
  <c r="L68" i="7"/>
  <c r="L69" i="7"/>
  <c r="L70" i="7"/>
  <c r="L71" i="7"/>
  <c r="L72" i="7"/>
  <c r="L73" i="7"/>
  <c r="J67" i="7"/>
  <c r="J68" i="7"/>
  <c r="J69" i="7"/>
  <c r="J70" i="7"/>
  <c r="J71" i="7"/>
  <c r="J72" i="7"/>
  <c r="J73" i="7"/>
  <c r="L36" i="6"/>
  <c r="L37" i="6"/>
  <c r="L38" i="6"/>
  <c r="L39" i="6"/>
  <c r="L40" i="6"/>
  <c r="L41" i="6"/>
  <c r="J36" i="6"/>
  <c r="J37" i="6"/>
  <c r="J38" i="6"/>
  <c r="J39" i="6"/>
  <c r="J40" i="6"/>
  <c r="J41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5" i="5"/>
  <c r="G4" i="5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E30" i="4" l="1"/>
  <c r="E29" i="4"/>
  <c r="K59" i="1"/>
  <c r="G59" i="1"/>
  <c r="K53" i="1"/>
  <c r="G53" i="1"/>
  <c r="K55" i="1" l="1"/>
  <c r="G55" i="1"/>
  <c r="K122" i="1"/>
  <c r="G122" i="1"/>
  <c r="K121" i="1"/>
  <c r="G121" i="1"/>
  <c r="K120" i="1"/>
  <c r="G120" i="1"/>
  <c r="K52" i="1"/>
  <c r="G52" i="1"/>
  <c r="K119" i="1"/>
  <c r="G119" i="1"/>
  <c r="K118" i="1"/>
  <c r="G118" i="1"/>
  <c r="K117" i="1"/>
  <c r="G117" i="1"/>
  <c r="K51" i="1"/>
  <c r="G51" i="1"/>
  <c r="K50" i="1"/>
  <c r="G50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49" i="1"/>
  <c r="G49" i="1"/>
  <c r="K48" i="1"/>
  <c r="G48" i="1"/>
  <c r="K47" i="1"/>
  <c r="G47" i="1"/>
  <c r="K108" i="1"/>
  <c r="G108" i="1"/>
  <c r="K107" i="1"/>
  <c r="G107" i="1"/>
  <c r="K106" i="1"/>
  <c r="G106" i="1"/>
  <c r="K105" i="1"/>
  <c r="G105" i="1"/>
  <c r="K46" i="1"/>
  <c r="G46" i="1"/>
  <c r="K141" i="1"/>
  <c r="G141" i="1"/>
  <c r="K140" i="1"/>
  <c r="G140" i="1"/>
  <c r="K139" i="1"/>
  <c r="G139" i="1"/>
  <c r="K138" i="1"/>
  <c r="G138" i="1"/>
  <c r="K137" i="1"/>
  <c r="G137" i="1"/>
  <c r="K136" i="1"/>
  <c r="G136" i="1"/>
  <c r="K135" i="1"/>
  <c r="G135" i="1"/>
  <c r="K104" i="1"/>
  <c r="G104" i="1"/>
  <c r="K103" i="1"/>
  <c r="G103" i="1"/>
  <c r="K102" i="1"/>
  <c r="G102" i="1"/>
  <c r="K134" i="1"/>
  <c r="G134" i="1"/>
  <c r="K133" i="1"/>
  <c r="G133" i="1"/>
  <c r="K132" i="1"/>
  <c r="G132" i="1"/>
  <c r="K131" i="1"/>
  <c r="G131" i="1"/>
  <c r="K130" i="1"/>
  <c r="G130" i="1"/>
  <c r="K129" i="1"/>
  <c r="G129" i="1"/>
  <c r="K101" i="1"/>
  <c r="G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128" i="1"/>
  <c r="G128" i="1"/>
  <c r="K127" i="1"/>
  <c r="G127" i="1"/>
  <c r="K126" i="1"/>
  <c r="G126" i="1"/>
  <c r="K125" i="1"/>
  <c r="G125" i="1"/>
  <c r="K124" i="1"/>
  <c r="G124" i="1"/>
  <c r="K123" i="1"/>
  <c r="G123" i="1"/>
  <c r="K58" i="1" l="1"/>
  <c r="G58" i="1"/>
  <c r="K57" i="1"/>
  <c r="G57" i="1"/>
  <c r="K63" i="1"/>
  <c r="G63" i="1"/>
  <c r="I62" i="1"/>
  <c r="H62" i="1"/>
  <c r="F62" i="1"/>
  <c r="E62" i="1"/>
  <c r="K92" i="1"/>
  <c r="G92" i="1"/>
  <c r="K45" i="1"/>
  <c r="G45" i="1"/>
  <c r="K44" i="1"/>
  <c r="G44" i="1"/>
  <c r="K43" i="1"/>
  <c r="G43" i="1"/>
  <c r="K42" i="1"/>
  <c r="G42" i="1"/>
  <c r="K41" i="1"/>
  <c r="G41" i="1"/>
  <c r="K40" i="1"/>
  <c r="G40" i="1"/>
  <c r="K39" i="1"/>
  <c r="G39" i="1"/>
  <c r="K54" i="1"/>
  <c r="G54" i="1"/>
  <c r="K91" i="1"/>
  <c r="G91" i="1"/>
  <c r="K90" i="1"/>
  <c r="G90" i="1"/>
  <c r="K38" i="1"/>
  <c r="G38" i="1"/>
  <c r="K37" i="1"/>
  <c r="G37" i="1"/>
  <c r="K36" i="1"/>
  <c r="G36" i="1"/>
  <c r="K35" i="1"/>
  <c r="G35" i="1"/>
  <c r="K34" i="1"/>
  <c r="G34" i="1"/>
  <c r="K33" i="1"/>
  <c r="G33" i="1"/>
  <c r="E56" i="1"/>
  <c r="K56" i="1" s="1"/>
  <c r="K32" i="1"/>
  <c r="G32" i="1"/>
  <c r="K31" i="1"/>
  <c r="G31" i="1"/>
  <c r="K30" i="1"/>
  <c r="G30" i="1"/>
  <c r="K29" i="1"/>
  <c r="G29" i="1"/>
  <c r="E28" i="1"/>
  <c r="K28" i="1" s="1"/>
  <c r="E27" i="1"/>
  <c r="K27" i="1" s="1"/>
  <c r="K26" i="1"/>
  <c r="G26" i="1"/>
  <c r="K25" i="1"/>
  <c r="G25" i="1"/>
  <c r="K24" i="1"/>
  <c r="G24" i="1"/>
  <c r="K89" i="1"/>
  <c r="G89" i="1"/>
  <c r="K88" i="1"/>
  <c r="G88" i="1"/>
  <c r="K87" i="1"/>
  <c r="G87" i="1"/>
  <c r="K86" i="1"/>
  <c r="G86" i="1"/>
  <c r="K61" i="1"/>
  <c r="K60" i="1"/>
  <c r="G60" i="1"/>
  <c r="K23" i="1"/>
  <c r="G23" i="1"/>
  <c r="K22" i="1"/>
  <c r="G22" i="1"/>
  <c r="K85" i="1"/>
  <c r="G85" i="1"/>
  <c r="K84" i="1"/>
  <c r="G84" i="1"/>
  <c r="K83" i="1"/>
  <c r="G83" i="1"/>
  <c r="K82" i="1"/>
  <c r="G82" i="1"/>
  <c r="K81" i="1"/>
  <c r="G81" i="1"/>
  <c r="K21" i="1"/>
  <c r="G21" i="1"/>
  <c r="K20" i="1"/>
  <c r="G20" i="1"/>
  <c r="K80" i="1"/>
  <c r="G80" i="1"/>
  <c r="K79" i="1"/>
  <c r="G79" i="1"/>
  <c r="K78" i="1"/>
  <c r="G78" i="1"/>
  <c r="K77" i="1"/>
  <c r="G77" i="1"/>
  <c r="K76" i="1"/>
  <c r="G76" i="1"/>
  <c r="K75" i="1"/>
  <c r="G75" i="1"/>
  <c r="K74" i="1"/>
  <c r="G74" i="1"/>
  <c r="K19" i="1"/>
  <c r="G19" i="1"/>
  <c r="K18" i="1"/>
  <c r="G18" i="1"/>
  <c r="K17" i="1"/>
  <c r="G17" i="1"/>
  <c r="K16" i="1"/>
  <c r="G16" i="1"/>
  <c r="K15" i="1"/>
  <c r="G15" i="1"/>
  <c r="K73" i="1"/>
  <c r="G73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  <c r="K7" i="1"/>
  <c r="G7" i="1"/>
  <c r="K6" i="1"/>
  <c r="G6" i="1"/>
  <c r="K5" i="1"/>
  <c r="G5" i="1"/>
  <c r="K4" i="1"/>
  <c r="G4" i="1"/>
  <c r="K3" i="1"/>
  <c r="G3" i="1"/>
  <c r="K72" i="1"/>
  <c r="G72" i="1"/>
  <c r="K71" i="1"/>
  <c r="G71" i="1"/>
  <c r="K70" i="1"/>
  <c r="G70" i="1"/>
  <c r="K69" i="1"/>
  <c r="G69" i="1"/>
  <c r="K68" i="1"/>
  <c r="G68" i="1"/>
  <c r="K67" i="1"/>
  <c r="G67" i="1"/>
  <c r="K66" i="1"/>
  <c r="G66" i="1"/>
  <c r="K65" i="1"/>
  <c r="G65" i="1"/>
  <c r="K64" i="1"/>
  <c r="G64" i="1"/>
  <c r="K2" i="1"/>
  <c r="G2" i="1"/>
  <c r="G56" i="1" l="1"/>
  <c r="K62" i="1"/>
  <c r="G62" i="1"/>
  <c r="G28" i="1"/>
  <c r="G27" i="1"/>
  <c r="D53" i="17" l="1"/>
  <c r="L34" i="6" l="1"/>
  <c r="L33" i="6"/>
  <c r="L32" i="6"/>
  <c r="L31" i="6"/>
  <c r="L30" i="6"/>
  <c r="L29" i="6"/>
  <c r="L28" i="6"/>
  <c r="L27" i="6"/>
  <c r="L26" i="6"/>
  <c r="L25" i="6"/>
  <c r="L24" i="6"/>
  <c r="L23" i="6"/>
  <c r="J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G8" i="6"/>
  <c r="J8" i="6" s="1"/>
  <c r="G9" i="6"/>
  <c r="J9" i="6" s="1"/>
  <c r="G10" i="6"/>
  <c r="J10" i="6" s="1"/>
  <c r="G11" i="6"/>
  <c r="J11" i="6" s="1"/>
  <c r="G12" i="6"/>
  <c r="J12" i="6" s="1"/>
  <c r="G13" i="6"/>
  <c r="J13" i="6" s="1"/>
  <c r="G14" i="6"/>
  <c r="J14" i="6" s="1"/>
  <c r="G15" i="6"/>
  <c r="J15" i="6" s="1"/>
  <c r="G16" i="6"/>
  <c r="J16" i="6" s="1"/>
  <c r="G17" i="6"/>
  <c r="J17" i="6" s="1"/>
  <c r="G18" i="6"/>
  <c r="J18" i="6" s="1"/>
  <c r="G19" i="6"/>
  <c r="J19" i="6" s="1"/>
  <c r="G20" i="6"/>
  <c r="J20" i="6" s="1"/>
  <c r="G21" i="6"/>
  <c r="J21" i="6" s="1"/>
  <c r="G22" i="6"/>
  <c r="J22" i="6" s="1"/>
  <c r="J24" i="6"/>
  <c r="J25" i="6"/>
  <c r="J26" i="6"/>
  <c r="J27" i="6"/>
  <c r="J28" i="6"/>
  <c r="J29" i="6"/>
  <c r="J30" i="6"/>
  <c r="J31" i="6"/>
  <c r="J32" i="6"/>
  <c r="H49" i="17" l="1"/>
  <c r="L87" i="4"/>
  <c r="L82" i="4"/>
  <c r="L80" i="4"/>
  <c r="L81" i="4"/>
  <c r="L83" i="4"/>
  <c r="J4" i="14" l="1"/>
  <c r="G6" i="13"/>
  <c r="G5" i="13"/>
  <c r="G4" i="13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J34" i="6"/>
  <c r="J33" i="6"/>
  <c r="G7" i="6"/>
  <c r="G6" i="6"/>
  <c r="G5" i="6"/>
  <c r="G4" i="6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L18" i="7" l="1"/>
  <c r="J5" i="14" l="1"/>
  <c r="L5" i="14"/>
  <c r="J6" i="14"/>
  <c r="L6" i="14"/>
  <c r="J7" i="14"/>
  <c r="L7" i="14"/>
  <c r="J11" i="7"/>
  <c r="L11" i="7"/>
  <c r="J12" i="7"/>
  <c r="L12" i="7"/>
  <c r="J13" i="7"/>
  <c r="L13" i="7"/>
  <c r="J14" i="7"/>
  <c r="L14" i="7"/>
  <c r="J15" i="7"/>
  <c r="L15" i="7"/>
  <c r="J16" i="7"/>
  <c r="L16" i="7"/>
  <c r="J17" i="7"/>
  <c r="L17" i="7"/>
  <c r="J18" i="7"/>
  <c r="J19" i="7"/>
  <c r="L19" i="7"/>
  <c r="J20" i="7"/>
  <c r="L20" i="7"/>
  <c r="J21" i="7"/>
  <c r="L21" i="7"/>
  <c r="J22" i="7"/>
  <c r="L22" i="7"/>
  <c r="J23" i="7"/>
  <c r="L23" i="7"/>
  <c r="J24" i="7"/>
  <c r="L24" i="7"/>
  <c r="J25" i="7"/>
  <c r="L25" i="7"/>
  <c r="J26" i="7"/>
  <c r="L26" i="7"/>
  <c r="J27" i="7"/>
  <c r="L27" i="7"/>
  <c r="J28" i="7"/>
  <c r="L28" i="7"/>
  <c r="J9" i="7"/>
  <c r="L9" i="7"/>
  <c r="J10" i="7"/>
  <c r="L10" i="7"/>
  <c r="J29" i="7"/>
  <c r="L29" i="7"/>
  <c r="J10" i="4"/>
  <c r="J25" i="4"/>
  <c r="J26" i="4"/>
  <c r="J33" i="4"/>
  <c r="J34" i="4"/>
  <c r="J41" i="4"/>
  <c r="J42" i="4"/>
  <c r="J49" i="4"/>
  <c r="J50" i="4"/>
  <c r="J53" i="4"/>
  <c r="J45" i="4"/>
  <c r="J37" i="4"/>
  <c r="J29" i="4"/>
  <c r="J21" i="4"/>
  <c r="J13" i="4"/>
  <c r="J5" i="4"/>
  <c r="J4" i="4"/>
  <c r="J6" i="4"/>
  <c r="J7" i="4"/>
  <c r="J8" i="4"/>
  <c r="J9" i="4"/>
  <c r="J11" i="4"/>
  <c r="J12" i="4"/>
  <c r="J14" i="4"/>
  <c r="J15" i="4"/>
  <c r="J16" i="4"/>
  <c r="J17" i="4"/>
  <c r="J18" i="4"/>
  <c r="J19" i="4"/>
  <c r="J20" i="4"/>
  <c r="J22" i="4"/>
  <c r="J23" i="4"/>
  <c r="J24" i="4"/>
  <c r="J27" i="4"/>
  <c r="J28" i="4"/>
  <c r="J30" i="4"/>
  <c r="J31" i="4"/>
  <c r="J32" i="4"/>
  <c r="J35" i="4"/>
  <c r="J36" i="4"/>
  <c r="J38" i="4"/>
  <c r="J39" i="4"/>
  <c r="J40" i="4"/>
  <c r="J43" i="4"/>
  <c r="J44" i="4"/>
  <c r="J46" i="4"/>
  <c r="J47" i="4"/>
  <c r="J48" i="4"/>
  <c r="J51" i="4"/>
  <c r="J52" i="4"/>
  <c r="J54" i="4"/>
  <c r="J136" i="4" l="1"/>
  <c r="J135" i="4"/>
  <c r="J14" i="14"/>
  <c r="K6" i="14" l="1"/>
  <c r="G14" i="14"/>
  <c r="I14" i="14"/>
  <c r="H14" i="14"/>
  <c r="K7" i="14"/>
  <c r="M26" i="17" l="1"/>
  <c r="M27" i="17"/>
  <c r="M28" i="17"/>
  <c r="M29" i="17"/>
  <c r="M30" i="17"/>
  <c r="M31" i="17"/>
  <c r="B32" i="17"/>
  <c r="C32" i="17"/>
  <c r="D32" i="17"/>
  <c r="E32" i="17"/>
  <c r="F32" i="17"/>
  <c r="G32" i="17"/>
  <c r="H32" i="17"/>
  <c r="I32" i="17"/>
  <c r="J32" i="17"/>
  <c r="K32" i="17"/>
  <c r="L32" i="17"/>
  <c r="M15" i="17"/>
  <c r="M16" i="17"/>
  <c r="M17" i="17"/>
  <c r="M18" i="17"/>
  <c r="M19" i="17"/>
  <c r="M20" i="17"/>
  <c r="B21" i="17"/>
  <c r="C21" i="17"/>
  <c r="D21" i="17"/>
  <c r="E21" i="17"/>
  <c r="F21" i="17"/>
  <c r="G21" i="17"/>
  <c r="H21" i="17"/>
  <c r="I21" i="17"/>
  <c r="J21" i="17"/>
  <c r="K21" i="17"/>
  <c r="L21" i="17"/>
  <c r="M32" i="17" l="1"/>
  <c r="I33" i="17" s="1"/>
  <c r="H33" i="17"/>
  <c r="N29" i="17"/>
  <c r="B33" i="17"/>
  <c r="N30" i="17"/>
  <c r="M21" i="17"/>
  <c r="K22" i="17" s="1"/>
  <c r="C33" i="17" l="1"/>
  <c r="N26" i="17"/>
  <c r="N32" i="17" s="1"/>
  <c r="J33" i="17"/>
  <c r="K33" i="17"/>
  <c r="D33" i="17"/>
  <c r="N27" i="17"/>
  <c r="E33" i="17"/>
  <c r="N28" i="17"/>
  <c r="F33" i="17"/>
  <c r="G33" i="17"/>
  <c r="N31" i="17"/>
  <c r="L33" i="17"/>
  <c r="J22" i="17"/>
  <c r="N16" i="17"/>
  <c r="B22" i="17"/>
  <c r="N17" i="17"/>
  <c r="G22" i="17"/>
  <c r="F22" i="17"/>
  <c r="I22" i="17"/>
  <c r="E22" i="17"/>
  <c r="H22" i="17"/>
  <c r="N15" i="17"/>
  <c r="N18" i="17"/>
  <c r="D22" i="17"/>
  <c r="C22" i="17"/>
  <c r="N20" i="17"/>
  <c r="L22" i="17"/>
  <c r="N19" i="17"/>
  <c r="M33" i="17" l="1"/>
  <c r="N21" i="17"/>
  <c r="M22" i="17"/>
  <c r="J6" i="20"/>
  <c r="J11" i="20" s="1"/>
  <c r="J5" i="20"/>
  <c r="J4" i="20"/>
  <c r="J9" i="20" s="1"/>
  <c r="L6" i="20"/>
  <c r="L5" i="20"/>
  <c r="L4" i="20"/>
  <c r="H48" i="17"/>
  <c r="J48" i="17"/>
  <c r="B49" i="17"/>
  <c r="C49" i="17"/>
  <c r="D49" i="17"/>
  <c r="E49" i="17"/>
  <c r="G49" i="17"/>
  <c r="I49" i="17"/>
  <c r="C50" i="17"/>
  <c r="D50" i="17"/>
  <c r="F50" i="17"/>
  <c r="H50" i="17"/>
  <c r="J50" i="17"/>
  <c r="K50" i="17"/>
  <c r="L50" i="17"/>
  <c r="D51" i="17"/>
  <c r="H51" i="17"/>
  <c r="H52" i="17"/>
  <c r="J52" i="17"/>
  <c r="H53" i="17"/>
  <c r="J53" i="17"/>
  <c r="M37" i="17"/>
  <c r="M38" i="17"/>
  <c r="M39" i="17"/>
  <c r="M40" i="17"/>
  <c r="E43" i="17"/>
  <c r="E10" i="17"/>
  <c r="J10" i="20" l="1"/>
  <c r="I10" i="20" s="1"/>
  <c r="E54" i="17"/>
  <c r="I11" i="20"/>
  <c r="H11" i="20"/>
  <c r="G11" i="20"/>
  <c r="I9" i="20"/>
  <c r="H9" i="20"/>
  <c r="G9" i="20"/>
  <c r="L112" i="4"/>
  <c r="L113" i="4"/>
  <c r="L114" i="4"/>
  <c r="H10" i="20" l="1"/>
  <c r="G10" i="20"/>
  <c r="L43" i="17" l="1"/>
  <c r="K43" i="17"/>
  <c r="J43" i="17"/>
  <c r="I43" i="17"/>
  <c r="H43" i="17"/>
  <c r="G43" i="17"/>
  <c r="F43" i="17"/>
  <c r="D43" i="17"/>
  <c r="C43" i="17"/>
  <c r="B43" i="17"/>
  <c r="M42" i="17"/>
  <c r="M41" i="17"/>
  <c r="M43" i="17" l="1"/>
  <c r="L10" i="17"/>
  <c r="L54" i="17" s="1"/>
  <c r="K10" i="17"/>
  <c r="K54" i="17" s="1"/>
  <c r="J10" i="17"/>
  <c r="J54" i="17" s="1"/>
  <c r="I10" i="17"/>
  <c r="I54" i="17" s="1"/>
  <c r="H10" i="17"/>
  <c r="H54" i="17" s="1"/>
  <c r="G10" i="17"/>
  <c r="G54" i="17" s="1"/>
  <c r="F10" i="17"/>
  <c r="F54" i="17" s="1"/>
  <c r="D10" i="17"/>
  <c r="D54" i="17" s="1"/>
  <c r="C10" i="17"/>
  <c r="C54" i="17" s="1"/>
  <c r="B10" i="17"/>
  <c r="B54" i="17" s="1"/>
  <c r="M9" i="17"/>
  <c r="M53" i="17" s="1"/>
  <c r="M8" i="17"/>
  <c r="M52" i="17" s="1"/>
  <c r="M7" i="17"/>
  <c r="M51" i="17" s="1"/>
  <c r="M6" i="17"/>
  <c r="M50" i="17" s="1"/>
  <c r="M5" i="17"/>
  <c r="M49" i="17" s="1"/>
  <c r="M4" i="17"/>
  <c r="M48" i="17" s="1"/>
  <c r="K44" i="17" l="1"/>
  <c r="N37" i="17"/>
  <c r="N38" i="17"/>
  <c r="N39" i="17"/>
  <c r="E44" i="17"/>
  <c r="N40" i="17"/>
  <c r="N42" i="17"/>
  <c r="D44" i="17"/>
  <c r="F44" i="17"/>
  <c r="L44" i="17"/>
  <c r="C44" i="17"/>
  <c r="B44" i="17"/>
  <c r="J44" i="17"/>
  <c r="I44" i="17"/>
  <c r="H44" i="17"/>
  <c r="G44" i="17"/>
  <c r="N41" i="17"/>
  <c r="M10" i="17"/>
  <c r="M54" i="17" l="1"/>
  <c r="E11" i="17"/>
  <c r="M44" i="17"/>
  <c r="N43" i="17"/>
  <c r="D11" i="17"/>
  <c r="G11" i="17"/>
  <c r="N5" i="17"/>
  <c r="L11" i="17"/>
  <c r="I11" i="17"/>
  <c r="N8" i="17"/>
  <c r="N4" i="17"/>
  <c r="N6" i="17"/>
  <c r="F11" i="17"/>
  <c r="C11" i="17"/>
  <c r="K11" i="17"/>
  <c r="J11" i="17"/>
  <c r="B11" i="17"/>
  <c r="H11" i="17"/>
  <c r="N9" i="17"/>
  <c r="N7" i="17"/>
  <c r="M11" i="17" l="1"/>
  <c r="N10" i="17"/>
  <c r="L5" i="16" l="1"/>
  <c r="L6" i="16"/>
  <c r="L8" i="16"/>
  <c r="L4" i="16"/>
  <c r="J5" i="16"/>
  <c r="J6" i="16"/>
  <c r="J8" i="16"/>
  <c r="J4" i="16"/>
  <c r="L6" i="15" l="1"/>
  <c r="L5" i="15"/>
  <c r="L4" i="1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4" i="4"/>
  <c r="L85" i="4"/>
  <c r="L86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4" i="4"/>
  <c r="L8" i="14"/>
  <c r="L9" i="14"/>
  <c r="L4" i="14"/>
  <c r="L5" i="13"/>
  <c r="L6" i="13"/>
  <c r="L4" i="13"/>
  <c r="L5" i="6"/>
  <c r="L6" i="6"/>
  <c r="L7" i="6"/>
  <c r="L35" i="6"/>
  <c r="L42" i="6"/>
  <c r="L43" i="6"/>
  <c r="L4" i="6"/>
  <c r="L5" i="7"/>
  <c r="L6" i="7"/>
  <c r="L7" i="7"/>
  <c r="L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74" i="7"/>
  <c r="L75" i="7"/>
  <c r="L76" i="7"/>
  <c r="L77" i="7"/>
  <c r="L78" i="7"/>
  <c r="L79" i="7"/>
  <c r="L80" i="7"/>
  <c r="L81" i="7"/>
  <c r="L4" i="7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K8" i="16" l="1"/>
  <c r="K7" i="16"/>
  <c r="K4" i="16"/>
  <c r="G11" i="16"/>
  <c r="H11" i="16"/>
  <c r="I11" i="16"/>
  <c r="K5" i="16"/>
  <c r="K6" i="16"/>
  <c r="J5" i="15"/>
  <c r="J6" i="15"/>
  <c r="J4" i="15"/>
  <c r="J8" i="14"/>
  <c r="J9" i="14"/>
  <c r="J6" i="13"/>
  <c r="J5" i="13"/>
  <c r="J4" i="13"/>
  <c r="J12" i="15" l="1"/>
  <c r="I12" i="15" s="1"/>
  <c r="J11" i="15"/>
  <c r="I11" i="15" s="1"/>
  <c r="J10" i="15"/>
  <c r="I10" i="15" s="1"/>
  <c r="J15" i="14"/>
  <c r="J13" i="14"/>
  <c r="K4" i="14" s="1"/>
  <c r="J9" i="13"/>
  <c r="J11" i="13"/>
  <c r="J10" i="13"/>
  <c r="J35" i="6"/>
  <c r="J48" i="6" s="1"/>
  <c r="J42" i="6"/>
  <c r="J4" i="6"/>
  <c r="J5" i="6"/>
  <c r="J6" i="6"/>
  <c r="J43" i="6"/>
  <c r="J47" i="7"/>
  <c r="J51" i="7"/>
  <c r="J52" i="7"/>
  <c r="J53" i="7"/>
  <c r="J66" i="7"/>
  <c r="J74" i="7"/>
  <c r="J75" i="7"/>
  <c r="J8" i="7"/>
  <c r="J40" i="7"/>
  <c r="J41" i="7"/>
  <c r="J43" i="7"/>
  <c r="J85" i="7" s="1"/>
  <c r="J54" i="7"/>
  <c r="J61" i="7"/>
  <c r="J62" i="7"/>
  <c r="J63" i="7"/>
  <c r="J64" i="7"/>
  <c r="J76" i="7"/>
  <c r="J80" i="7"/>
  <c r="J81" i="7"/>
  <c r="J35" i="7"/>
  <c r="J36" i="7"/>
  <c r="J34" i="7"/>
  <c r="J42" i="7"/>
  <c r="J5" i="7"/>
  <c r="J6" i="7"/>
  <c r="J7" i="7"/>
  <c r="J30" i="7"/>
  <c r="J31" i="7"/>
  <c r="J32" i="7"/>
  <c r="J33" i="7"/>
  <c r="J37" i="7"/>
  <c r="J38" i="7"/>
  <c r="J39" i="7"/>
  <c r="J44" i="7"/>
  <c r="J45" i="7"/>
  <c r="J46" i="7"/>
  <c r="J48" i="7"/>
  <c r="J49" i="7"/>
  <c r="J50" i="7"/>
  <c r="J55" i="7"/>
  <c r="J56" i="7"/>
  <c r="J57" i="7"/>
  <c r="J58" i="7"/>
  <c r="J59" i="7"/>
  <c r="J60" i="7"/>
  <c r="J65" i="7"/>
  <c r="J77" i="7"/>
  <c r="J78" i="7"/>
  <c r="J79" i="7"/>
  <c r="J7" i="6"/>
  <c r="H10" i="13" l="1"/>
  <c r="I11" i="13"/>
  <c r="I9" i="13"/>
  <c r="K70" i="7"/>
  <c r="K72" i="7"/>
  <c r="K71" i="7"/>
  <c r="K73" i="7"/>
  <c r="K38" i="6"/>
  <c r="K41" i="6"/>
  <c r="K39" i="6"/>
  <c r="K40" i="6"/>
  <c r="J46" i="6"/>
  <c r="H46" i="6" s="1"/>
  <c r="K9" i="14"/>
  <c r="H15" i="14"/>
  <c r="I15" i="14"/>
  <c r="G15" i="14"/>
  <c r="J86" i="7"/>
  <c r="I86" i="7" s="1"/>
  <c r="K11" i="6"/>
  <c r="K14" i="6"/>
  <c r="K12" i="6"/>
  <c r="K13" i="6"/>
  <c r="K10" i="6"/>
  <c r="I13" i="14"/>
  <c r="K5" i="14"/>
  <c r="K8" i="14"/>
  <c r="H11" i="15"/>
  <c r="G12" i="15"/>
  <c r="G11" i="15"/>
  <c r="H12" i="15"/>
  <c r="H10" i="15"/>
  <c r="G10" i="15"/>
  <c r="G13" i="14"/>
  <c r="H13" i="14"/>
  <c r="I10" i="13"/>
  <c r="G11" i="13"/>
  <c r="H11" i="13"/>
  <c r="G10" i="13"/>
  <c r="G9" i="13"/>
  <c r="H9" i="13"/>
  <c r="H48" i="6"/>
  <c r="G48" i="6"/>
  <c r="I48" i="6"/>
  <c r="J47" i="6"/>
  <c r="J4" i="7"/>
  <c r="J84" i="7" s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4" i="5"/>
  <c r="K69" i="7" l="1"/>
  <c r="K68" i="7"/>
  <c r="K67" i="7"/>
  <c r="K8" i="6"/>
  <c r="K37" i="6"/>
  <c r="K36" i="6"/>
  <c r="K30" i="6"/>
  <c r="K28" i="6"/>
  <c r="K32" i="6"/>
  <c r="K34" i="6"/>
  <c r="K31" i="6"/>
  <c r="K29" i="6"/>
  <c r="K33" i="6"/>
  <c r="K16" i="6"/>
  <c r="K9" i="6"/>
  <c r="K17" i="6"/>
  <c r="G86" i="7"/>
  <c r="H86" i="7"/>
  <c r="K15" i="6"/>
  <c r="K27" i="6"/>
  <c r="K23" i="6"/>
  <c r="K25" i="6"/>
  <c r="K19" i="6"/>
  <c r="K24" i="6"/>
  <c r="K22" i="6"/>
  <c r="K20" i="6"/>
  <c r="K26" i="6"/>
  <c r="K18" i="6"/>
  <c r="K21" i="6"/>
  <c r="K11" i="7"/>
  <c r="K19" i="7"/>
  <c r="K27" i="7"/>
  <c r="K26" i="7"/>
  <c r="K14" i="7"/>
  <c r="K22" i="7"/>
  <c r="K18" i="7"/>
  <c r="K21" i="7"/>
  <c r="K12" i="7"/>
  <c r="K28" i="7"/>
  <c r="K13" i="7"/>
  <c r="K15" i="7"/>
  <c r="K23" i="7"/>
  <c r="K17" i="7"/>
  <c r="K25" i="7"/>
  <c r="K16" i="7"/>
  <c r="K24" i="7"/>
  <c r="K20" i="7"/>
  <c r="K10" i="7"/>
  <c r="K29" i="7"/>
  <c r="K9" i="7"/>
  <c r="G85" i="7"/>
  <c r="H85" i="7"/>
  <c r="I85" i="7"/>
  <c r="H84" i="7"/>
  <c r="I84" i="7"/>
  <c r="G84" i="7"/>
  <c r="I47" i="6"/>
  <c r="G47" i="6"/>
  <c r="H47" i="6"/>
  <c r="G46" i="6"/>
  <c r="I46" i="6"/>
  <c r="J90" i="5"/>
  <c r="J91" i="5"/>
  <c r="K67" i="5" s="1"/>
  <c r="K5" i="6"/>
  <c r="K6" i="6"/>
  <c r="K4" i="6"/>
  <c r="K7" i="6"/>
  <c r="J89" i="5"/>
  <c r="K27" i="5" s="1"/>
  <c r="K60" i="7"/>
  <c r="K79" i="7"/>
  <c r="K50" i="7"/>
  <c r="K49" i="7"/>
  <c r="K56" i="7"/>
  <c r="K78" i="7"/>
  <c r="K57" i="7"/>
  <c r="K59" i="7"/>
  <c r="K65" i="7"/>
  <c r="K35" i="6"/>
  <c r="K42" i="6"/>
  <c r="K43" i="6"/>
  <c r="K76" i="7"/>
  <c r="K80" i="7"/>
  <c r="K66" i="7"/>
  <c r="K81" i="7"/>
  <c r="K74" i="7"/>
  <c r="K75" i="7"/>
  <c r="K52" i="7"/>
  <c r="K53" i="7"/>
  <c r="K54" i="7"/>
  <c r="K61" i="7"/>
  <c r="K63" i="7"/>
  <c r="K51" i="7"/>
  <c r="K64" i="7"/>
  <c r="K62" i="7"/>
  <c r="K77" i="7"/>
  <c r="K58" i="7"/>
  <c r="K48" i="7"/>
  <c r="K55" i="7"/>
  <c r="G90" i="5" l="1"/>
  <c r="I90" i="5"/>
  <c r="H90" i="5"/>
  <c r="K45" i="5"/>
  <c r="K46" i="5"/>
  <c r="K37" i="5"/>
  <c r="K53" i="5"/>
  <c r="K38" i="5"/>
  <c r="K62" i="5"/>
  <c r="K44" i="5"/>
  <c r="K52" i="5"/>
  <c r="K60" i="5"/>
  <c r="K61" i="5"/>
  <c r="K54" i="5"/>
  <c r="K31" i="5"/>
  <c r="K17" i="5"/>
  <c r="K74" i="5"/>
  <c r="K72" i="5"/>
  <c r="K10" i="5"/>
  <c r="K43" i="5"/>
  <c r="K39" i="5"/>
  <c r="K80" i="5"/>
  <c r="K51" i="5"/>
  <c r="K47" i="5"/>
  <c r="K49" i="5"/>
  <c r="K16" i="5"/>
  <c r="K42" i="5"/>
  <c r="K59" i="5"/>
  <c r="K64" i="5"/>
  <c r="K55" i="5"/>
  <c r="K65" i="5"/>
  <c r="K24" i="5"/>
  <c r="K9" i="5"/>
  <c r="K66" i="5"/>
  <c r="H91" i="5"/>
  <c r="G91" i="5"/>
  <c r="I91" i="5"/>
  <c r="K85" i="5"/>
  <c r="K78" i="5"/>
  <c r="K69" i="5"/>
  <c r="K86" i="5"/>
  <c r="K68" i="5"/>
  <c r="K76" i="5"/>
  <c r="K84" i="5"/>
  <c r="K77" i="5"/>
  <c r="K70" i="5"/>
  <c r="K81" i="5"/>
  <c r="K25" i="5"/>
  <c r="K11" i="5"/>
  <c r="K71" i="5"/>
  <c r="K40" i="5"/>
  <c r="K83" i="5"/>
  <c r="K15" i="5"/>
  <c r="K79" i="5"/>
  <c r="K34" i="5"/>
  <c r="K48" i="5"/>
  <c r="K57" i="5"/>
  <c r="K58" i="5"/>
  <c r="G89" i="5"/>
  <c r="I89" i="5"/>
  <c r="H89" i="5"/>
  <c r="K5" i="5"/>
  <c r="K14" i="5"/>
  <c r="K13" i="5"/>
  <c r="K29" i="5"/>
  <c r="K22" i="5"/>
  <c r="K12" i="5"/>
  <c r="K20" i="5"/>
  <c r="K28" i="5"/>
  <c r="K36" i="5"/>
  <c r="K21" i="5"/>
  <c r="K6" i="5"/>
  <c r="K30" i="5"/>
  <c r="K33" i="5"/>
  <c r="K8" i="5"/>
  <c r="K26" i="5"/>
  <c r="K4" i="5"/>
  <c r="K63" i="5"/>
  <c r="K32" i="5"/>
  <c r="K75" i="5"/>
  <c r="K7" i="5"/>
  <c r="K18" i="5"/>
  <c r="K41" i="5"/>
  <c r="K19" i="5"/>
  <c r="K23" i="5"/>
  <c r="K50" i="5"/>
  <c r="K56" i="5"/>
  <c r="K73" i="5"/>
  <c r="K35" i="5"/>
  <c r="K82" i="5"/>
  <c r="G136" i="4"/>
  <c r="H136" i="4"/>
  <c r="I136" i="4"/>
  <c r="K4" i="4" l="1"/>
  <c r="H135" i="4"/>
  <c r="G135" i="4"/>
  <c r="I135" i="4"/>
  <c r="K25" i="4"/>
  <c r="K49" i="4"/>
  <c r="K32" i="4"/>
  <c r="K5" i="4"/>
  <c r="K47" i="4"/>
  <c r="K8" i="4"/>
  <c r="K16" i="4"/>
  <c r="K40" i="4"/>
  <c r="K28" i="4"/>
  <c r="K7" i="4"/>
  <c r="K52" i="4"/>
  <c r="K13" i="4"/>
  <c r="K21" i="4"/>
  <c r="K11" i="4"/>
  <c r="K38" i="4"/>
  <c r="K45" i="4"/>
  <c r="K15" i="4"/>
  <c r="K10" i="4"/>
  <c r="K18" i="4"/>
  <c r="K23" i="4"/>
  <c r="K37" i="4"/>
  <c r="K44" i="4"/>
  <c r="K35" i="4"/>
  <c r="K30" i="4"/>
  <c r="K42" i="4"/>
  <c r="K50" i="4"/>
  <c r="K19" i="4"/>
  <c r="K26" i="4"/>
  <c r="K33" i="4"/>
  <c r="K53" i="4"/>
  <c r="K46" i="4"/>
  <c r="K14" i="4"/>
  <c r="K39" i="4"/>
  <c r="K9" i="4"/>
  <c r="K43" i="4"/>
  <c r="K20" i="4"/>
  <c r="K17" i="4"/>
  <c r="K22" i="4"/>
  <c r="K31" i="4"/>
  <c r="K6" i="4"/>
  <c r="K51" i="4"/>
  <c r="K24" i="4"/>
  <c r="K48" i="4"/>
  <c r="K27" i="4"/>
  <c r="K41" i="4"/>
  <c r="K34" i="4"/>
  <c r="K29" i="4"/>
  <c r="K54" i="4"/>
  <c r="K36" i="4"/>
  <c r="K12" i="4"/>
  <c r="K43" i="7" l="1"/>
  <c r="K44" i="7"/>
  <c r="K32" i="7"/>
  <c r="K4" i="7"/>
  <c r="K47" i="7"/>
  <c r="K8" i="7"/>
  <c r="K35" i="7"/>
  <c r="K39" i="7"/>
  <c r="K36" i="7"/>
  <c r="K37" i="7"/>
  <c r="K42" i="7"/>
  <c r="K30" i="7"/>
  <c r="K45" i="7"/>
  <c r="K40" i="7"/>
  <c r="K34" i="7"/>
  <c r="K33" i="7"/>
  <c r="K38" i="7"/>
  <c r="K41" i="7"/>
  <c r="K5" i="7"/>
  <c r="K46" i="7"/>
  <c r="K31" i="7"/>
  <c r="K6" i="7"/>
  <c r="K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tc={A8061508-FC0B-4545-A26E-15A952D5BEBA}</author>
    <author>tc={A491FDEB-D921-47A0-84B0-8469A6DE248A}</author>
    <author>tc={4A45A4A0-5992-438E-9409-8A4FD1FCC893}</author>
    <author>tc={4B3612E9-5148-4D5E-8E8A-18C5E1B83A82}</author>
  </authors>
  <commentList>
    <comment ref="F26" authorId="0" shapeId="0" xr:uid="{A8061508-FC0B-4545-A26E-15A952D5BEBA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reduced to account for fare generated by feeder route 771</t>
      </text>
    </comment>
    <comment ref="F36" authorId="1" shapeId="0" xr:uid="{A491FDEB-D921-47A0-84B0-8469A6DE248A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reduced to account for revenue occuring on feeder rotue 788</t>
      </text>
    </comment>
    <comment ref="F88" authorId="2" shapeId="0" xr:uid="{4A45A4A0-5992-438E-9409-8A4FD1FCC893}">
      <text>
        <t>[Threaded comment]
Your version of Excel allows you to read this threaded comment; however, any edits to it will get removed if the file is opened in a newer version of Excel. Learn more: https://go.microsoft.com/fwlink/?linkid=870924
Comment:
    Feeder for route 772, fare based on half ridership x 3.25 fare</t>
      </text>
    </comment>
    <comment ref="F91" authorId="3" shapeId="0" xr:uid="{4B3612E9-5148-4D5E-8E8A-18C5E1B83A82}">
      <text>
        <t>[Threaded comment]
Your version of Excel allows you to read this threaded comment; however, any edits to it will get removed if the file is opened in a newer version of Excel. Learn more: https://go.microsoft.com/fwlink/?linkid=870924
Comment:
    Feeder for Route 783, based on ridership x local fare x 0.5 to account for one way fare</t>
      </text>
    </comment>
  </commentList>
</comments>
</file>

<file path=xl/sharedStrings.xml><?xml version="1.0" encoding="utf-8"?>
<sst xmlns="http://schemas.openxmlformats.org/spreadsheetml/2006/main" count="2879" uniqueCount="150">
  <si>
    <t>Route</t>
  </si>
  <si>
    <t>Day of Service</t>
  </si>
  <si>
    <t>Total Cost</t>
  </si>
  <si>
    <t>Passenger Trips</t>
  </si>
  <si>
    <t>Fare Revenue</t>
  </si>
  <si>
    <t>In-Service Hours</t>
  </si>
  <si>
    <t>Comment</t>
  </si>
  <si>
    <t>Weekday</t>
  </si>
  <si>
    <t>Saturday</t>
  </si>
  <si>
    <t>Sunday</t>
  </si>
  <si>
    <t>Provider</t>
  </si>
  <si>
    <t>Maple Grove</t>
  </si>
  <si>
    <t>Commuter &amp; Express Bus</t>
  </si>
  <si>
    <t>Plymouth Dial a Ride</t>
  </si>
  <si>
    <t>Plymouth</t>
  </si>
  <si>
    <t xml:space="preserve">445 /437 /438 </t>
  </si>
  <si>
    <t>MVTA</t>
  </si>
  <si>
    <t>SW Transit</t>
  </si>
  <si>
    <t>Metro Transit</t>
  </si>
  <si>
    <t>Supporting Local</t>
  </si>
  <si>
    <t>Suburban Local</t>
  </si>
  <si>
    <t>MTS</t>
  </si>
  <si>
    <t>Light Rail</t>
  </si>
  <si>
    <t>Commuter Rail</t>
  </si>
  <si>
    <t>Core Local</t>
  </si>
  <si>
    <t>Table 1</t>
  </si>
  <si>
    <t xml:space="preserve">Route </t>
  </si>
  <si>
    <t>Type</t>
  </si>
  <si>
    <t>Fare Revenues</t>
  </si>
  <si>
    <t>Net Subsidy</t>
  </si>
  <si>
    <t>Total Passenger Trips</t>
  </si>
  <si>
    <t>Annual In-Service Hours</t>
  </si>
  <si>
    <t>Subsidy per Passenger</t>
  </si>
  <si>
    <t>Subsidy compared to peer average and review level</t>
  </si>
  <si>
    <t>Data  Status</t>
  </si>
  <si>
    <t>Annual Hours</t>
  </si>
  <si>
    <t>Table 2</t>
  </si>
  <si>
    <t>Table 3</t>
  </si>
  <si>
    <t>Table 4</t>
  </si>
  <si>
    <t>Table 5</t>
  </si>
  <si>
    <t>Table 6</t>
  </si>
  <si>
    <t>Table 7</t>
  </si>
  <si>
    <t>Route-level subsidy per passenger</t>
  </si>
  <si>
    <t>Highway BRT</t>
  </si>
  <si>
    <t>Passengers per Hour</t>
  </si>
  <si>
    <t>Table 8</t>
  </si>
  <si>
    <t>All Days</t>
  </si>
  <si>
    <t>Percent of Total</t>
  </si>
  <si>
    <t>Total All Providers</t>
  </si>
  <si>
    <t xml:space="preserve">% </t>
  </si>
  <si>
    <t>Total All Types</t>
  </si>
  <si>
    <t>Comm. Vanpool</t>
  </si>
  <si>
    <t>Total Subsidy</t>
  </si>
  <si>
    <t>Total all providers</t>
  </si>
  <si>
    <t>Route Type</t>
  </si>
  <si>
    <t>Arterial BRT</t>
  </si>
  <si>
    <t>General Public Dial-a-Ride</t>
  </si>
  <si>
    <t>Metro Mobility</t>
  </si>
  <si>
    <t>Table 1: Ridership by Service Type</t>
  </si>
  <si>
    <t>Table 2: Hours by Service Type</t>
  </si>
  <si>
    <t>Table 3: Total Cost by Service Type</t>
  </si>
  <si>
    <t>Table 4: System Subsidy per Passenger by Provider</t>
  </si>
  <si>
    <t>Service Type</t>
  </si>
  <si>
    <t>Peer Group Subsidy Average</t>
  </si>
  <si>
    <t>Threshold Information</t>
  </si>
  <si>
    <t>Level Number</t>
  </si>
  <si>
    <t>Description</t>
  </si>
  <si>
    <t>Commuter and Express</t>
  </si>
  <si>
    <t>Less than 20% over peer average</t>
  </si>
  <si>
    <t>Table 9</t>
  </si>
  <si>
    <t>Subsidy per Passenger Performance Standard</t>
  </si>
  <si>
    <t>Meets</t>
  </si>
  <si>
    <t>Routes</t>
  </si>
  <si>
    <t>Min</t>
  </si>
  <si>
    <t>Max</t>
  </si>
  <si>
    <t>Type of Service</t>
  </si>
  <si>
    <t>Routes Meeting Standard</t>
  </si>
  <si>
    <t>Routes Below Standard</t>
  </si>
  <si>
    <t>Core Local Bus</t>
  </si>
  <si>
    <t>Supporting Local Bus</t>
  </si>
  <si>
    <t>Suburban Local Bus</t>
  </si>
  <si>
    <t>Light Rail Transit</t>
  </si>
  <si>
    <t>General Public DAR</t>
  </si>
  <si>
    <t>Passengers per In-Service Hour Standard</t>
  </si>
  <si>
    <t>NA</t>
  </si>
  <si>
    <t>Commuter &amp; Express Bus (peak standard on weekday)</t>
  </si>
  <si>
    <t>Farebox Recovery</t>
  </si>
  <si>
    <t>SW Flex</t>
  </si>
  <si>
    <t>State Fair</t>
  </si>
  <si>
    <t xml:space="preserve">State Fair </t>
  </si>
  <si>
    <t>Special</t>
  </si>
  <si>
    <t>General Public      Dial-a-Ride</t>
  </si>
  <si>
    <t>ADA      Dial-a Ride</t>
  </si>
  <si>
    <t>Total Subsidy by Service Type (not in analysis document)</t>
  </si>
  <si>
    <t>20% to 35% over peer average</t>
  </si>
  <si>
    <t>35% to 60% over peer average</t>
  </si>
  <si>
    <t>60 % over peer average</t>
  </si>
  <si>
    <t>2018 Commuter and Express Subsidy per Passenger and Passengers per Hour</t>
  </si>
  <si>
    <t>2018 Core Local Subsidy per Passenger and Passengers per Hour</t>
  </si>
  <si>
    <t>2018 Supporting Local Subsidy per Passenger and Passengers per Hour</t>
  </si>
  <si>
    <t>2018 Suburban Local Subsidy per Passenger and Passengers per Hour</t>
  </si>
  <si>
    <t>2018 Arterial BRT Subsidy per Passenger and Passengers per Hour</t>
  </si>
  <si>
    <t>2018 Highway BRT Subsidy per Passenger and Passengers per Hour</t>
  </si>
  <si>
    <t>2018 Light Rail Transit Subsidy per Passenger and Passengers per Hour</t>
  </si>
  <si>
    <t>2018 Commuter Rail Subsidy per Passenger and Passengers per Hour</t>
  </si>
  <si>
    <t>2018 General Public Dial-a-Ride Subsidy per Passenger and Passengers per Hour</t>
  </si>
  <si>
    <r>
      <t xml:space="preserve">35W@94 Construction Service </t>
    </r>
    <r>
      <rPr>
        <sz val="10"/>
        <color theme="1"/>
        <rFont val="Calibri"/>
        <family val="2"/>
      </rPr>
      <t>new Route 416</t>
    </r>
    <r>
      <rPr>
        <sz val="10"/>
        <rFont val="Calibri"/>
        <family val="2"/>
      </rPr>
      <t xml:space="preserve"> between Eagan &amp; 46th Street LRT from July to December 2018</t>
    </r>
  </si>
  <si>
    <t>Route 420 new extension to Dakota County Technical College August 2018; new weekend service added November 2018</t>
  </si>
  <si>
    <t>Route 436 one trip eliminated August 2018</t>
  </si>
  <si>
    <t>Route 440 weekday and weekend trip reductions November 2018</t>
  </si>
  <si>
    <t>Route 442 weekday and weekend trip reductions November 2018</t>
  </si>
  <si>
    <t>Route 437 eliminated November 2018; Route 445 two trips added November 2018</t>
  </si>
  <si>
    <t>35W@94 Construction service Route 460 extension to Heart of the City from July 2018 through February 2019</t>
  </si>
  <si>
    <t>Route 478 one trip added August 2018</t>
  </si>
  <si>
    <t>Route 490 re-alignment on select trips November 2018</t>
  </si>
  <si>
    <t>Route 492 re-alignment to serve Marschall Road in November 2018</t>
  </si>
  <si>
    <t>Route 493 select trips eliminated November 2018</t>
  </si>
  <si>
    <t>Route 495 direct service to Mystic Lake added February 2018; one trip added August 2018</t>
  </si>
  <si>
    <t>Route 497 re-alignment and one trip added August 2018</t>
  </si>
  <si>
    <t>--</t>
  </si>
  <si>
    <t>Event</t>
  </si>
  <si>
    <t>MG DAR / MY RIDE</t>
  </si>
  <si>
    <t>SWTransit</t>
  </si>
  <si>
    <t>One Trip Daily</t>
  </si>
  <si>
    <t>Serves Downtown East and the U of M</t>
  </si>
  <si>
    <t>Reverse commute route with limited revenue due to the majority of passengers transferring from other transit providers.</t>
  </si>
  <si>
    <t>Twins, Vikings, Gophers, 
Summer Adventures, &amp; Misc.</t>
  </si>
  <si>
    <t xml:space="preserve">SW Prime </t>
  </si>
  <si>
    <t>General Demand Response</t>
  </si>
  <si>
    <t>DAR ADA</t>
  </si>
  <si>
    <t>682 (State Fair)</t>
  </si>
  <si>
    <t>Row Labels</t>
  </si>
  <si>
    <t>Grand Total</t>
  </si>
  <si>
    <t>Sum of Total Cost</t>
  </si>
  <si>
    <t>(Multiple Items)</t>
  </si>
  <si>
    <t>Sum of Fare Revenue</t>
  </si>
  <si>
    <t>Sum of Passenger Trips</t>
  </si>
  <si>
    <t>Sum of In-Service Hours</t>
  </si>
  <si>
    <t>Sunday / Holiday</t>
  </si>
  <si>
    <t>Metro Vanpool</t>
  </si>
  <si>
    <t>Commuter Van Pool</t>
  </si>
  <si>
    <t>Transit Link</t>
  </si>
  <si>
    <t>Blue Line</t>
  </si>
  <si>
    <t>Green Line</t>
  </si>
  <si>
    <t>BRT - Arterial</t>
  </si>
  <si>
    <t>Fixed Route</t>
  </si>
  <si>
    <t>Column Labels</t>
  </si>
  <si>
    <t>Sum of Total Subsidy</t>
  </si>
  <si>
    <t>Weekend</t>
  </si>
  <si>
    <r>
      <t xml:space="preserve">35W@94 Construction Service </t>
    </r>
    <r>
      <rPr>
        <sz val="8"/>
        <color theme="1"/>
        <rFont val="Calibri"/>
        <family val="2"/>
      </rPr>
      <t>new Route 416</t>
    </r>
    <r>
      <rPr>
        <sz val="8"/>
        <rFont val="Calibri"/>
        <family val="2"/>
      </rPr>
      <t xml:space="preserve"> between Eagan &amp; 46th Street LRT from July to December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</si>
</sst>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#,##0.0_);\(#,##0.0\)"/>
    <numFmt numFmtId="168" formatCode="0.0"/>
    <numFmt numFmtId="169" formatCode="&quot;$&quot;#,##0.00"/>
    <numFmt numFmtId="171" formatCode="&quot;$&quot;#,##0"/>
    <numFmt numFmtId="172" formatCode="_(* #,##0.0_);_(* \(#,##0.0\);_(* &quot;-&quot;??_);_(@_)"/>
    <numFmt numFmtId="173" formatCode="#,##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indexed="8"/>
      <name val="Calibri"/>
      <family val="2"/>
      <scheme val="minor"/>
    </font>
    <font>
      <b/>
      <sz val="9"/>
      <name val="Arial"/>
      <family val="2"/>
    </font>
    <font>
      <sz val="12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867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/>
  </cellStyleXfs>
  <cellXfs count="33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Border="1"/>
    <xf numFmtId="0" fontId="0" fillId="0" borderId="0" xfId="0" applyFill="1"/>
    <xf numFmtId="165" fontId="0" fillId="0" borderId="0" xfId="1" applyNumberFormat="1" applyFont="1"/>
    <xf numFmtId="165" fontId="0" fillId="0" borderId="0" xfId="0" applyNumberFormat="1"/>
    <xf numFmtId="0" fontId="0" fillId="0" borderId="0" xfId="0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164" fontId="0" fillId="0" borderId="0" xfId="0" applyNumberFormat="1"/>
    <xf numFmtId="0" fontId="9" fillId="0" borderId="0" xfId="3" applyFont="1" applyFill="1" applyBorder="1" applyAlignment="1">
      <alignment wrapText="1"/>
    </xf>
    <xf numFmtId="0" fontId="11" fillId="3" borderId="4" xfId="0" applyFont="1" applyFill="1" applyBorder="1" applyAlignment="1">
      <alignment horizontal="left" vertical="top"/>
    </xf>
    <xf numFmtId="1" fontId="11" fillId="3" borderId="5" xfId="0" applyNumberFormat="1" applyFont="1" applyFill="1" applyBorder="1" applyAlignment="1">
      <alignment horizontal="center" vertical="top"/>
    </xf>
    <xf numFmtId="38" fontId="11" fillId="3" borderId="5" xfId="0" applyNumberFormat="1" applyFont="1" applyFill="1" applyBorder="1" applyAlignment="1">
      <alignment horizontal="left" vertical="top" wrapText="1"/>
    </xf>
    <xf numFmtId="164" fontId="11" fillId="3" borderId="5" xfId="2" applyNumberFormat="1" applyFont="1" applyFill="1" applyBorder="1" applyAlignment="1">
      <alignment horizontal="center" vertical="top"/>
    </xf>
    <xf numFmtId="165" fontId="11" fillId="3" borderId="5" xfId="1" applyNumberFormat="1" applyFont="1" applyFill="1" applyBorder="1" applyAlignment="1">
      <alignment horizontal="center" vertical="top" wrapText="1"/>
    </xf>
    <xf numFmtId="40" fontId="11" fillId="3" borderId="5" xfId="0" applyNumberFormat="1" applyFont="1" applyFill="1" applyBorder="1" applyAlignment="1">
      <alignment horizontal="center" vertical="top" wrapText="1"/>
    </xf>
    <xf numFmtId="38" fontId="11" fillId="3" borderId="6" xfId="0" applyNumberFormat="1" applyFont="1" applyFill="1" applyBorder="1" applyAlignment="1">
      <alignment horizontal="center" vertical="center"/>
    </xf>
    <xf numFmtId="38" fontId="1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8" xfId="0" applyFont="1" applyBorder="1"/>
    <xf numFmtId="164" fontId="4" fillId="0" borderId="8" xfId="2" applyNumberFormat="1" applyFont="1" applyBorder="1"/>
    <xf numFmtId="165" fontId="4" fillId="0" borderId="8" xfId="1" applyNumberFormat="1" applyFont="1" applyBorder="1"/>
    <xf numFmtId="44" fontId="4" fillId="0" borderId="8" xfId="1" applyNumberFormat="1" applyFont="1" applyBorder="1"/>
    <xf numFmtId="0" fontId="0" fillId="0" borderId="10" xfId="0" applyBorder="1"/>
    <xf numFmtId="0" fontId="4" fillId="0" borderId="0" xfId="0" applyFont="1" applyBorder="1"/>
    <xf numFmtId="164" fontId="4" fillId="0" borderId="0" xfId="2" applyNumberFormat="1" applyFont="1" applyBorder="1"/>
    <xf numFmtId="165" fontId="4" fillId="0" borderId="0" xfId="1" applyNumberFormat="1" applyFont="1" applyBorder="1"/>
    <xf numFmtId="44" fontId="4" fillId="0" borderId="0" xfId="1" applyNumberFormat="1" applyFont="1" applyBorder="1"/>
    <xf numFmtId="0" fontId="0" fillId="0" borderId="11" xfId="0" applyBorder="1"/>
    <xf numFmtId="0" fontId="4" fillId="0" borderId="12" xfId="0" applyFont="1" applyBorder="1"/>
    <xf numFmtId="164" fontId="4" fillId="0" borderId="12" xfId="2" applyNumberFormat="1" applyFont="1" applyBorder="1"/>
    <xf numFmtId="165" fontId="4" fillId="0" borderId="12" xfId="1" applyNumberFormat="1" applyFont="1" applyBorder="1"/>
    <xf numFmtId="44" fontId="4" fillId="0" borderId="12" xfId="1" applyNumberFormat="1" applyFont="1" applyBorder="1"/>
    <xf numFmtId="9" fontId="11" fillId="3" borderId="5" xfId="4" applyFont="1" applyFill="1" applyBorder="1" applyAlignment="1">
      <alignment horizontal="center" vertical="top" wrapText="1"/>
    </xf>
    <xf numFmtId="9" fontId="0" fillId="0" borderId="0" xfId="4" applyFont="1" applyAlignment="1">
      <alignment horizontal="center"/>
    </xf>
    <xf numFmtId="9" fontId="0" fillId="0" borderId="0" xfId="4" applyFont="1" applyAlignment="1">
      <alignment horizontal="center" wrapText="1"/>
    </xf>
    <xf numFmtId="44" fontId="0" fillId="0" borderId="0" xfId="2" applyFont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4" fillId="0" borderId="3" xfId="0" applyFont="1" applyBorder="1"/>
    <xf numFmtId="164" fontId="4" fillId="0" borderId="0" xfId="0" applyNumberFormat="1" applyFont="1"/>
    <xf numFmtId="44" fontId="0" fillId="0" borderId="0" xfId="0" applyNumberFormat="1"/>
    <xf numFmtId="44" fontId="4" fillId="0" borderId="0" xfId="1" applyNumberFormat="1" applyFont="1" applyFill="1" applyBorder="1"/>
    <xf numFmtId="164" fontId="4" fillId="0" borderId="0" xfId="1" applyNumberFormat="1" applyFont="1" applyFill="1" applyBorder="1"/>
    <xf numFmtId="9" fontId="12" fillId="0" borderId="0" xfId="4" applyFont="1" applyFill="1" applyBorder="1" applyAlignment="1">
      <alignment horizontal="center"/>
    </xf>
    <xf numFmtId="9" fontId="12" fillId="0" borderId="12" xfId="4" applyFont="1" applyFill="1" applyBorder="1" applyAlignment="1">
      <alignment horizontal="center"/>
    </xf>
    <xf numFmtId="9" fontId="12" fillId="0" borderId="8" xfId="4" applyFont="1" applyFill="1" applyBorder="1" applyAlignment="1">
      <alignment horizontal="center"/>
    </xf>
    <xf numFmtId="9" fontId="0" fillId="0" borderId="0" xfId="4" applyNumberFormat="1" applyFont="1" applyAlignment="1">
      <alignment wrapText="1"/>
    </xf>
    <xf numFmtId="0" fontId="11" fillId="3" borderId="14" xfId="0" applyFont="1" applyFill="1" applyBorder="1" applyAlignment="1">
      <alignment horizontal="left" vertical="top"/>
    </xf>
    <xf numFmtId="1" fontId="11" fillId="3" borderId="15" xfId="0" applyNumberFormat="1" applyFont="1" applyFill="1" applyBorder="1" applyAlignment="1">
      <alignment horizontal="center" vertical="top"/>
    </xf>
    <xf numFmtId="38" fontId="11" fillId="3" borderId="15" xfId="0" applyNumberFormat="1" applyFont="1" applyFill="1" applyBorder="1" applyAlignment="1">
      <alignment horizontal="left" vertical="top" wrapText="1"/>
    </xf>
    <xf numFmtId="164" fontId="11" fillId="3" borderId="15" xfId="2" applyNumberFormat="1" applyFont="1" applyFill="1" applyBorder="1" applyAlignment="1">
      <alignment horizontal="center" vertical="top"/>
    </xf>
    <xf numFmtId="165" fontId="11" fillId="3" borderId="15" xfId="1" applyNumberFormat="1" applyFont="1" applyFill="1" applyBorder="1" applyAlignment="1">
      <alignment horizontal="center" vertical="top" wrapText="1"/>
    </xf>
    <xf numFmtId="40" fontId="11" fillId="3" borderId="15" xfId="0" applyNumberFormat="1" applyFont="1" applyFill="1" applyBorder="1" applyAlignment="1">
      <alignment horizontal="center" vertical="top" wrapText="1"/>
    </xf>
    <xf numFmtId="9" fontId="11" fillId="3" borderId="15" xfId="4" applyFont="1" applyFill="1" applyBorder="1" applyAlignment="1">
      <alignment horizontal="center" vertical="top" wrapText="1"/>
    </xf>
    <xf numFmtId="38" fontId="11" fillId="3" borderId="16" xfId="0" applyNumberFormat="1" applyFont="1" applyFill="1" applyBorder="1" applyAlignment="1">
      <alignment horizontal="center" vertical="center" wrapText="1"/>
    </xf>
    <xf numFmtId="44" fontId="4" fillId="0" borderId="0" xfId="2" applyNumberFormat="1" applyFont="1" applyBorder="1"/>
    <xf numFmtId="44" fontId="4" fillId="0" borderId="8" xfId="2" applyNumberFormat="1" applyFont="1" applyBorder="1"/>
    <xf numFmtId="0" fontId="0" fillId="0" borderId="9" xfId="0" applyBorder="1"/>
    <xf numFmtId="0" fontId="0" fillId="0" borderId="3" xfId="0" applyBorder="1"/>
    <xf numFmtId="44" fontId="4" fillId="0" borderId="12" xfId="2" applyNumberFormat="1" applyFont="1" applyBorder="1"/>
    <xf numFmtId="0" fontId="0" fillId="0" borderId="13" xfId="0" applyBorder="1"/>
    <xf numFmtId="0" fontId="4" fillId="0" borderId="9" xfId="0" applyFont="1" applyBorder="1"/>
    <xf numFmtId="44" fontId="4" fillId="0" borderId="8" xfId="2" applyFont="1" applyBorder="1"/>
    <xf numFmtId="44" fontId="4" fillId="0" borderId="0" xfId="2" applyFont="1" applyBorder="1"/>
    <xf numFmtId="44" fontId="4" fillId="0" borderId="12" xfId="2" applyFont="1" applyBorder="1"/>
    <xf numFmtId="168" fontId="12" fillId="0" borderId="0" xfId="4" applyNumberFormat="1" applyFont="1" applyFill="1" applyBorder="1" applyAlignment="1">
      <alignment horizontal="center"/>
    </xf>
    <xf numFmtId="168" fontId="12" fillId="0" borderId="12" xfId="4" applyNumberFormat="1" applyFont="1" applyFill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8" fontId="4" fillId="0" borderId="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9" fontId="11" fillId="3" borderId="17" xfId="4" applyFont="1" applyFill="1" applyBorder="1" applyAlignment="1">
      <alignment horizontal="center" vertical="top" wrapText="1"/>
    </xf>
    <xf numFmtId="167" fontId="4" fillId="0" borderId="8" xfId="1" applyNumberFormat="1" applyFont="1" applyBorder="1" applyAlignment="1">
      <alignment horizontal="center"/>
    </xf>
    <xf numFmtId="167" fontId="4" fillId="0" borderId="12" xfId="1" applyNumberFormat="1" applyFont="1" applyBorder="1" applyAlignment="1">
      <alignment horizontal="center"/>
    </xf>
    <xf numFmtId="9" fontId="11" fillId="3" borderId="18" xfId="4" applyFont="1" applyFill="1" applyBorder="1" applyAlignment="1">
      <alignment horizontal="center" vertical="top" wrapText="1"/>
    </xf>
    <xf numFmtId="167" fontId="0" fillId="0" borderId="8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12" xfId="0" applyNumberFormat="1" applyBorder="1" applyAlignment="1">
      <alignment horizontal="center" wrapText="1"/>
    </xf>
    <xf numFmtId="9" fontId="12" fillId="3" borderId="0" xfId="4" applyFont="1" applyFill="1" applyBorder="1" applyAlignment="1">
      <alignment horizontal="center"/>
    </xf>
    <xf numFmtId="9" fontId="12" fillId="3" borderId="12" xfId="4" applyFont="1" applyFill="1" applyBorder="1" applyAlignment="1">
      <alignment horizontal="center"/>
    </xf>
    <xf numFmtId="167" fontId="12" fillId="0" borderId="0" xfId="1" applyNumberFormat="1" applyFont="1" applyFill="1" applyBorder="1" applyAlignment="1">
      <alignment horizontal="center"/>
    </xf>
    <xf numFmtId="167" fontId="12" fillId="0" borderId="12" xfId="1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0" xfId="0" applyFont="1" applyFill="1" applyBorder="1"/>
    <xf numFmtId="0" fontId="0" fillId="3" borderId="12" xfId="0" applyFill="1" applyBorder="1"/>
    <xf numFmtId="44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44" fontId="4" fillId="0" borderId="12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44" fontId="0" fillId="0" borderId="9" xfId="2" applyFont="1" applyBorder="1"/>
    <xf numFmtId="44" fontId="0" fillId="0" borderId="3" xfId="2" applyFont="1" applyBorder="1"/>
    <xf numFmtId="44" fontId="0" fillId="0" borderId="13" xfId="2" applyFont="1" applyBorder="1"/>
    <xf numFmtId="9" fontId="11" fillId="3" borderId="4" xfId="4" applyFont="1" applyFill="1" applyBorder="1" applyAlignment="1">
      <alignment horizontal="center" vertical="top" wrapText="1"/>
    </xf>
    <xf numFmtId="38" fontId="11" fillId="3" borderId="6" xfId="0" applyNumberFormat="1" applyFont="1" applyFill="1" applyBorder="1" applyAlignment="1">
      <alignment horizontal="center" vertical="top" wrapText="1"/>
    </xf>
    <xf numFmtId="44" fontId="4" fillId="0" borderId="9" xfId="1" applyNumberFormat="1" applyFont="1" applyBorder="1"/>
    <xf numFmtId="44" fontId="4" fillId="0" borderId="3" xfId="1" applyNumberFormat="1" applyFont="1" applyBorder="1"/>
    <xf numFmtId="44" fontId="4" fillId="0" borderId="13" xfId="1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13" fillId="0" borderId="25" xfId="0" applyFont="1" applyBorder="1"/>
    <xf numFmtId="166" fontId="13" fillId="0" borderId="1" xfId="4" applyNumberFormat="1" applyFont="1" applyBorder="1" applyAlignment="1">
      <alignment horizontal="center"/>
    </xf>
    <xf numFmtId="0" fontId="14" fillId="0" borderId="24" xfId="0" applyFont="1" applyBorder="1" applyAlignment="1">
      <alignment horizontal="left"/>
    </xf>
    <xf numFmtId="166" fontId="13" fillId="0" borderId="21" xfId="0" applyNumberFormat="1" applyFont="1" applyBorder="1"/>
    <xf numFmtId="37" fontId="13" fillId="0" borderId="20" xfId="0" applyNumberFormat="1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166" fontId="13" fillId="3" borderId="23" xfId="4" applyNumberFormat="1" applyFont="1" applyFill="1" applyBorder="1" applyAlignment="1">
      <alignment horizontal="center"/>
    </xf>
    <xf numFmtId="37" fontId="13" fillId="3" borderId="0" xfId="1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left"/>
    </xf>
    <xf numFmtId="166" fontId="13" fillId="0" borderId="23" xfId="4" applyNumberFormat="1" applyFont="1" applyFill="1" applyBorder="1" applyAlignment="1">
      <alignment horizontal="center"/>
    </xf>
    <xf numFmtId="37" fontId="13" fillId="0" borderId="0" xfId="1" applyNumberFormat="1" applyFont="1" applyFill="1" applyBorder="1" applyAlignment="1">
      <alignment horizontal="center"/>
    </xf>
    <xf numFmtId="0" fontId="14" fillId="0" borderId="22" xfId="0" applyFont="1" applyFill="1" applyBorder="1" applyAlignment="1">
      <alignment horizontal="left"/>
    </xf>
    <xf numFmtId="166" fontId="13" fillId="0" borderId="21" xfId="4" applyNumberFormat="1" applyFont="1" applyBorder="1" applyAlignment="1">
      <alignment horizontal="center"/>
    </xf>
    <xf numFmtId="37" fontId="13" fillId="0" borderId="20" xfId="1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 wrapText="1"/>
    </xf>
    <xf numFmtId="0" fontId="15" fillId="0" borderId="2" xfId="0" applyNumberFormat="1" applyFont="1" applyBorder="1" applyAlignment="1">
      <alignment horizontal="center" wrapText="1"/>
    </xf>
    <xf numFmtId="0" fontId="7" fillId="0" borderId="30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0" fillId="0" borderId="0" xfId="0" applyNumberFormat="1" applyFill="1"/>
    <xf numFmtId="2" fontId="0" fillId="0" borderId="0" xfId="0" applyNumberFormat="1" applyAlignment="1">
      <alignment horizontal="center"/>
    </xf>
    <xf numFmtId="0" fontId="15" fillId="0" borderId="29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/>
    <xf numFmtId="165" fontId="4" fillId="0" borderId="0" xfId="1" applyNumberFormat="1" applyFont="1"/>
    <xf numFmtId="0" fontId="0" fillId="0" borderId="0" xfId="0"/>
    <xf numFmtId="164" fontId="4" fillId="0" borderId="0" xfId="2" applyNumberFormat="1" applyFont="1"/>
    <xf numFmtId="0" fontId="0" fillId="0" borderId="0" xfId="0" applyFill="1" applyAlignment="1">
      <alignment wrapText="1"/>
    </xf>
    <xf numFmtId="43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9" fontId="0" fillId="0" borderId="0" xfId="0" applyNumberFormat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169" fontId="0" fillId="0" borderId="12" xfId="0" applyNumberFormat="1" applyBorder="1" applyAlignment="1">
      <alignment horizontal="center"/>
    </xf>
    <xf numFmtId="44" fontId="4" fillId="2" borderId="8" xfId="1" applyNumberFormat="1" applyFont="1" applyFill="1" applyBorder="1"/>
    <xf numFmtId="44" fontId="4" fillId="2" borderId="12" xfId="1" applyNumberFormat="1" applyFont="1" applyFill="1" applyBorder="1"/>
    <xf numFmtId="44" fontId="4" fillId="4" borderId="8" xfId="1" applyNumberFormat="1" applyFont="1" applyFill="1" applyBorder="1"/>
    <xf numFmtId="44" fontId="4" fillId="4" borderId="12" xfId="1" applyNumberFormat="1" applyFont="1" applyFill="1" applyBorder="1"/>
    <xf numFmtId="44" fontId="4" fillId="6" borderId="7" xfId="1" applyNumberFormat="1" applyFont="1" applyFill="1" applyBorder="1"/>
    <xf numFmtId="44" fontId="4" fillId="6" borderId="11" xfId="1" applyNumberFormat="1" applyFont="1" applyFill="1" applyBorder="1"/>
    <xf numFmtId="44" fontId="4" fillId="4" borderId="0" xfId="1" applyNumberFormat="1" applyFont="1" applyFill="1" applyBorder="1"/>
    <xf numFmtId="44" fontId="4" fillId="2" borderId="0" xfId="1" applyNumberFormat="1" applyFont="1" applyFill="1" applyBorder="1"/>
    <xf numFmtId="44" fontId="4" fillId="6" borderId="10" xfId="1" applyNumberFormat="1" applyFont="1" applyFill="1" applyBorder="1"/>
    <xf numFmtId="44" fontId="4" fillId="6" borderId="26" xfId="1" applyNumberFormat="1" applyFont="1" applyFill="1" applyBorder="1"/>
    <xf numFmtId="44" fontId="4" fillId="2" borderId="27" xfId="1" applyNumberFormat="1" applyFont="1" applyFill="1" applyBorder="1"/>
    <xf numFmtId="44" fontId="4" fillId="4" borderId="27" xfId="1" applyNumberFormat="1" applyFont="1" applyFill="1" applyBorder="1"/>
    <xf numFmtId="9" fontId="0" fillId="0" borderId="0" xfId="4" applyFont="1" applyFill="1" applyAlignment="1">
      <alignment horizontal="center"/>
    </xf>
    <xf numFmtId="44" fontId="4" fillId="0" borderId="28" xfId="2" applyFont="1" applyBorder="1"/>
    <xf numFmtId="0" fontId="0" fillId="5" borderId="0" xfId="0" applyFill="1" applyBorder="1" applyAlignment="1">
      <alignment horizontal="center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7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0" borderId="40" xfId="0" applyFont="1" applyBorder="1"/>
    <xf numFmtId="0" fontId="7" fillId="0" borderId="3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15" fillId="0" borderId="30" xfId="0" applyFont="1" applyBorder="1" applyAlignment="1">
      <alignment horizontal="left" wrapText="1"/>
    </xf>
    <xf numFmtId="0" fontId="13" fillId="0" borderId="19" xfId="0" applyFont="1" applyBorder="1" applyAlignment="1">
      <alignment horizontal="left"/>
    </xf>
    <xf numFmtId="7" fontId="13" fillId="0" borderId="0" xfId="1" applyNumberFormat="1" applyFont="1" applyFill="1" applyBorder="1" applyAlignment="1">
      <alignment horizontal="center"/>
    </xf>
    <xf numFmtId="7" fontId="13" fillId="0" borderId="23" xfId="1" applyNumberFormat="1" applyFont="1" applyFill="1" applyBorder="1" applyAlignment="1">
      <alignment horizontal="center"/>
    </xf>
    <xf numFmtId="0" fontId="13" fillId="3" borderId="22" xfId="0" applyFont="1" applyFill="1" applyBorder="1" applyAlignment="1">
      <alignment horizontal="left"/>
    </xf>
    <xf numFmtId="7" fontId="13" fillId="3" borderId="0" xfId="1" applyNumberFormat="1" applyFont="1" applyFill="1" applyBorder="1" applyAlignment="1">
      <alignment horizontal="center"/>
    </xf>
    <xf numFmtId="7" fontId="13" fillId="3" borderId="23" xfId="1" applyNumberFormat="1" applyFont="1" applyFill="1" applyBorder="1" applyAlignment="1">
      <alignment horizontal="center"/>
    </xf>
    <xf numFmtId="0" fontId="13" fillId="0" borderId="22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/>
    </xf>
    <xf numFmtId="37" fontId="13" fillId="3" borderId="1" xfId="1" applyNumberFormat="1" applyFont="1" applyFill="1" applyBorder="1" applyAlignment="1">
      <alignment horizontal="center"/>
    </xf>
    <xf numFmtId="7" fontId="13" fillId="3" borderId="1" xfId="1" applyNumberFormat="1" applyFont="1" applyFill="1" applyBorder="1" applyAlignment="1">
      <alignment horizontal="center"/>
    </xf>
    <xf numFmtId="7" fontId="13" fillId="3" borderId="25" xfId="1" applyNumberFormat="1" applyFont="1" applyFill="1" applyBorder="1" applyAlignment="1">
      <alignment horizontal="center"/>
    </xf>
    <xf numFmtId="0" fontId="13" fillId="0" borderId="24" xfId="0" applyFont="1" applyFill="1" applyBorder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7" fontId="13" fillId="0" borderId="25" xfId="1" applyNumberFormat="1" applyFont="1" applyFill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Fill="1" applyBorder="1" applyAlignment="1">
      <alignment wrapText="1"/>
    </xf>
    <xf numFmtId="44" fontId="4" fillId="0" borderId="0" xfId="2" applyNumberFormat="1" applyFont="1"/>
    <xf numFmtId="0" fontId="0" fillId="0" borderId="3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9" xfId="0" applyFill="1" applyBorder="1"/>
    <xf numFmtId="0" fontId="0" fillId="0" borderId="19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6" xfId="0" applyFill="1" applyBorder="1"/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8" xfId="0" applyBorder="1"/>
    <xf numFmtId="169" fontId="0" fillId="0" borderId="0" xfId="0" applyNumberFormat="1"/>
    <xf numFmtId="166" fontId="0" fillId="0" borderId="0" xfId="4" applyNumberFormat="1" applyFont="1" applyAlignment="1">
      <alignment horizontal="center"/>
    </xf>
    <xf numFmtId="166" fontId="0" fillId="0" borderId="0" xfId="4" applyNumberFormat="1" applyFont="1"/>
    <xf numFmtId="2" fontId="0" fillId="0" borderId="0" xfId="0" applyNumberFormat="1"/>
    <xf numFmtId="0" fontId="6" fillId="0" borderId="0" xfId="3" applyFont="1" applyAlignment="1">
      <alignment wrapText="1"/>
    </xf>
    <xf numFmtId="165" fontId="20" fillId="0" borderId="0" xfId="1" applyNumberFormat="1" applyFont="1"/>
    <xf numFmtId="164" fontId="20" fillId="0" borderId="0" xfId="2" applyNumberFormat="1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0" fillId="0" borderId="0" xfId="0" pivotButton="1"/>
    <xf numFmtId="171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Fill="1" applyAlignment="1">
      <alignment horizontal="left"/>
    </xf>
    <xf numFmtId="169" fontId="0" fillId="0" borderId="0" xfId="0" applyNumberFormat="1" applyFill="1"/>
    <xf numFmtId="166" fontId="0" fillId="0" borderId="0" xfId="4" applyNumberFormat="1" applyFont="1" applyFill="1" applyAlignment="1">
      <alignment horizontal="center"/>
    </xf>
    <xf numFmtId="43" fontId="0" fillId="0" borderId="0" xfId="0" applyNumberFormat="1" applyFill="1"/>
    <xf numFmtId="0" fontId="0" fillId="0" borderId="12" xfId="0" applyBorder="1" applyAlignment="1">
      <alignment horizontal="left"/>
    </xf>
    <xf numFmtId="169" fontId="0" fillId="0" borderId="12" xfId="0" applyNumberFormat="1" applyBorder="1"/>
    <xf numFmtId="166" fontId="0" fillId="0" borderId="12" xfId="4" applyNumberFormat="1" applyFont="1" applyBorder="1" applyAlignment="1">
      <alignment horizontal="center"/>
    </xf>
    <xf numFmtId="43" fontId="4" fillId="0" borderId="0" xfId="1" applyFont="1"/>
    <xf numFmtId="172" fontId="4" fillId="0" borderId="0" xfId="1" applyNumberFormat="1" applyFont="1"/>
    <xf numFmtId="0" fontId="4" fillId="0" borderId="0" xfId="0" applyFont="1" applyAlignment="1">
      <alignment horizontal="left"/>
    </xf>
    <xf numFmtId="169" fontId="4" fillId="0" borderId="0" xfId="0" applyNumberFormat="1" applyFont="1"/>
    <xf numFmtId="169" fontId="4" fillId="0" borderId="12" xfId="0" applyNumberFormat="1" applyFont="1" applyBorder="1"/>
    <xf numFmtId="172" fontId="4" fillId="0" borderId="12" xfId="1" applyNumberFormat="1" applyFont="1" applyBorder="1"/>
    <xf numFmtId="43" fontId="4" fillId="0" borderId="12" xfId="1" applyFont="1" applyBorder="1"/>
    <xf numFmtId="0" fontId="4" fillId="0" borderId="7" xfId="0" applyFont="1" applyBorder="1"/>
    <xf numFmtId="169" fontId="4" fillId="0" borderId="8" xfId="0" applyNumberFormat="1" applyFont="1" applyBorder="1"/>
    <xf numFmtId="0" fontId="4" fillId="0" borderId="10" xfId="0" applyFont="1" applyBorder="1"/>
    <xf numFmtId="169" fontId="4" fillId="0" borderId="0" xfId="0" applyNumberFormat="1" applyFont="1" applyBorder="1"/>
    <xf numFmtId="0" fontId="4" fillId="0" borderId="11" xfId="0" applyFont="1" applyBorder="1"/>
    <xf numFmtId="172" fontId="4" fillId="0" borderId="8" xfId="1" applyNumberFormat="1" applyFont="1" applyBorder="1"/>
    <xf numFmtId="172" fontId="4" fillId="0" borderId="0" xfId="1" applyNumberFormat="1" applyFont="1" applyBorder="1"/>
    <xf numFmtId="0" fontId="0" fillId="0" borderId="8" xfId="0" applyBorder="1" applyAlignment="1">
      <alignment horizontal="left"/>
    </xf>
    <xf numFmtId="169" fontId="0" fillId="0" borderId="8" xfId="0" applyNumberFormat="1" applyBorder="1"/>
    <xf numFmtId="0" fontId="0" fillId="0" borderId="0" xfId="0" applyBorder="1" applyAlignment="1">
      <alignment horizontal="left"/>
    </xf>
    <xf numFmtId="169" fontId="0" fillId="0" borderId="0" xfId="0" applyNumberFormat="1" applyBorder="1"/>
    <xf numFmtId="165" fontId="0" fillId="0" borderId="8" xfId="0" applyNumberFormat="1" applyBorder="1"/>
    <xf numFmtId="0" fontId="0" fillId="0" borderId="10" xfId="0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0" fillId="0" borderId="0" xfId="0" applyNumberFormat="1" applyBorder="1"/>
    <xf numFmtId="2" fontId="0" fillId="0" borderId="0" xfId="0" applyNumberFormat="1" applyBorder="1"/>
    <xf numFmtId="171" fontId="0" fillId="0" borderId="12" xfId="0" applyNumberFormat="1" applyBorder="1" applyAlignment="1">
      <alignment horizontal="right"/>
    </xf>
    <xf numFmtId="169" fontId="0" fillId="0" borderId="12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165" fontId="0" fillId="0" borderId="12" xfId="1" applyNumberFormat="1" applyFont="1" applyBorder="1" applyAlignment="1">
      <alignment horizontal="right"/>
    </xf>
    <xf numFmtId="43" fontId="4" fillId="0" borderId="8" xfId="1" applyFont="1" applyBorder="1"/>
    <xf numFmtId="43" fontId="4" fillId="0" borderId="0" xfId="1" applyFont="1" applyBorder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4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73" fontId="0" fillId="0" borderId="0" xfId="0" applyNumberFormat="1"/>
    <xf numFmtId="0" fontId="11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0" fillId="0" borderId="0" xfId="3" applyFont="1" applyFill="1" applyBorder="1" applyAlignment="1">
      <alignment horizontal="left"/>
    </xf>
    <xf numFmtId="0" fontId="9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7" fillId="0" borderId="44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0" fontId="7" fillId="3" borderId="46" xfId="0" applyFont="1" applyFill="1" applyBorder="1" applyAlignment="1">
      <alignment horizontal="left" wrapText="1"/>
    </xf>
    <xf numFmtId="0" fontId="7" fillId="3" borderId="44" xfId="0" applyFont="1" applyFill="1" applyBorder="1" applyAlignment="1">
      <alignment horizontal="left" wrapText="1"/>
    </xf>
    <xf numFmtId="0" fontId="7" fillId="3" borderId="45" xfId="0" applyFont="1" applyFill="1" applyBorder="1" applyAlignment="1">
      <alignment horizontal="left" wrapText="1"/>
    </xf>
    <xf numFmtId="0" fontId="0" fillId="0" borderId="3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9" fontId="0" fillId="0" borderId="20" xfId="0" applyNumberFormat="1" applyBorder="1" applyAlignment="1">
      <alignment horizontal="center" vertical="top" wrapText="1"/>
    </xf>
    <xf numFmtId="169" fontId="0" fillId="0" borderId="0" xfId="0" applyNumberFormat="1" applyBorder="1" applyAlignment="1">
      <alignment horizontal="center" vertical="top" wrapText="1"/>
    </xf>
    <xf numFmtId="169" fontId="0" fillId="0" borderId="12" xfId="0" applyNumberFormat="1" applyBorder="1" applyAlignment="1">
      <alignment horizontal="center" vertical="top" wrapText="1"/>
    </xf>
    <xf numFmtId="0" fontId="7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0" fillId="0" borderId="23" xfId="0" applyFill="1" applyBorder="1" applyAlignment="1">
      <alignment horizontal="center" vertical="top"/>
    </xf>
    <xf numFmtId="0" fontId="0" fillId="0" borderId="39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center" vertical="top"/>
    </xf>
    <xf numFmtId="0" fontId="16" fillId="0" borderId="3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9" fontId="0" fillId="0" borderId="8" xfId="0" applyNumberFormat="1" applyBorder="1" applyAlignment="1">
      <alignment horizontal="center" vertical="top" wrapText="1"/>
    </xf>
    <xf numFmtId="169" fontId="0" fillId="0" borderId="8" xfId="0" applyNumberFormat="1" applyFill="1" applyBorder="1" applyAlignment="1">
      <alignment horizontal="center" vertical="top" wrapText="1"/>
    </xf>
    <xf numFmtId="169" fontId="0" fillId="0" borderId="0" xfId="0" applyNumberFormat="1" applyFill="1" applyBorder="1" applyAlignment="1">
      <alignment horizontal="center" vertical="top" wrapText="1"/>
    </xf>
    <xf numFmtId="169" fontId="0" fillId="0" borderId="1" xfId="0" applyNumberFormat="1" applyFill="1" applyBorder="1" applyAlignment="1">
      <alignment horizontal="center" vertical="top" wrapText="1"/>
    </xf>
    <xf numFmtId="169" fontId="0" fillId="0" borderId="20" xfId="0" applyNumberFormat="1" applyFill="1" applyBorder="1" applyAlignment="1">
      <alignment horizontal="center" vertical="top" wrapText="1"/>
    </xf>
    <xf numFmtId="169" fontId="0" fillId="0" borderId="12" xfId="0" applyNumberFormat="1" applyFill="1" applyBorder="1" applyAlignment="1">
      <alignment horizontal="center" vertical="top" wrapText="1"/>
    </xf>
    <xf numFmtId="0" fontId="21" fillId="0" borderId="0" xfId="0" applyFont="1"/>
    <xf numFmtId="164" fontId="21" fillId="0" borderId="0" xfId="2" applyNumberFormat="1" applyFont="1"/>
    <xf numFmtId="0" fontId="21" fillId="0" borderId="3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3" borderId="4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 wrapText="1"/>
    </xf>
    <xf numFmtId="164" fontId="11" fillId="3" borderId="5" xfId="2" applyNumberFormat="1" applyFont="1" applyFill="1" applyBorder="1" applyAlignment="1">
      <alignment horizontal="center" vertical="center"/>
    </xf>
    <xf numFmtId="165" fontId="11" fillId="3" borderId="5" xfId="1" applyNumberFormat="1" applyFont="1" applyFill="1" applyBorder="1" applyAlignment="1">
      <alignment horizontal="center" vertical="center" wrapText="1"/>
    </xf>
    <xf numFmtId="40" fontId="11" fillId="3" borderId="5" xfId="0" applyNumberFormat="1" applyFont="1" applyFill="1" applyBorder="1" applyAlignment="1">
      <alignment horizontal="center" vertical="center" wrapText="1"/>
    </xf>
    <xf numFmtId="9" fontId="11" fillId="3" borderId="5" xfId="4" applyFont="1" applyFill="1" applyBorder="1" applyAlignment="1">
      <alignment horizontal="center" vertical="center" wrapText="1"/>
    </xf>
    <xf numFmtId="9" fontId="11" fillId="3" borderId="17" xfId="4" applyFont="1" applyFill="1" applyBorder="1" applyAlignment="1">
      <alignment horizontal="center" vertical="center" wrapText="1"/>
    </xf>
    <xf numFmtId="40" fontId="11" fillId="3" borderId="17" xfId="0" applyNumberFormat="1" applyFont="1" applyFill="1" applyBorder="1" applyAlignment="1">
      <alignment horizontal="center" vertical="center" wrapText="1"/>
    </xf>
  </cellXfs>
  <cellStyles count="12">
    <cellStyle name="Comma" xfId="1" builtinId="3"/>
    <cellStyle name="Comma 2 2" xfId="7" xr:uid="{00000000-0005-0000-0000-000001000000}"/>
    <cellStyle name="Comma 3" xfId="8" xr:uid="{00000000-0005-0000-0000-000002000000}"/>
    <cellStyle name="Currency" xfId="2" builtinId="4"/>
    <cellStyle name="Currency 85" xfId="10" xr:uid="{00000000-0005-0000-0000-000004000000}"/>
    <cellStyle name="Normal" xfId="0" builtinId="0"/>
    <cellStyle name="Normal 2" xfId="11" xr:uid="{00000000-0005-0000-0000-000036000000}"/>
    <cellStyle name="Normal 2 2" xfId="5" xr:uid="{00000000-0005-0000-0000-000006000000}"/>
    <cellStyle name="Normal 3 2" xfId="6" xr:uid="{00000000-0005-0000-0000-000007000000}"/>
    <cellStyle name="Normal_Raw - Rte-Year" xfId="3" xr:uid="{00000000-0005-0000-0000-000008000000}"/>
    <cellStyle name="Percent" xfId="4" builtinId="5"/>
    <cellStyle name="Percent 2" xfId="9" xr:uid="{00000000-0005-0000-0000-00000A000000}"/>
  </cellStyles>
  <dxfs count="44"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E6458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679"/>
      <color rgb="FFFE6458"/>
      <color rgb="FFFE695E"/>
      <color rgb="FFF96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TS\Working\ContractServices\Route%20Analyses%20and%20Profiles\2016%20Route%20Analysis\2016%20Metro%20Transit%20Cost%20Allocation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 Sat"/>
      <sheetName val="Bus Sun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ena, Daniel" id="{A335CA1B-7C50-4210-B1F9-4CC31404DEF0}" userId="S::Daniel.Pena@metc.state.mn.us::c4daae94-9239-42f7-b50c-2d9cd3e2c18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3707.460691550928" createdVersion="6" refreshedVersion="6" minRefreshableVersion="3" recordCount="140" xr:uid="{2289252C-B51B-4A19-B38C-214CD251EA81}">
  <cacheSource type="worksheet">
    <worksheetSource ref="A1:K141" sheet="Summary of all routes"/>
  </cacheSource>
  <cacheFields count="11">
    <cacheField name="Provider" numFmtId="0">
      <sharedItems count="5">
        <s v="MVTA"/>
        <s v="Plymouth"/>
        <s v="Maple Grove"/>
        <s v="SWTransit"/>
        <s v="MTS"/>
      </sharedItems>
    </cacheField>
    <cacheField name="Route" numFmtId="0">
      <sharedItems containsMixedTypes="1" containsNumber="1" containsInteger="1" minValue="16" maxValue="831"/>
    </cacheField>
    <cacheField name="Route Type" numFmtId="0">
      <sharedItems count="7">
        <s v="Commuter &amp; Express Bus"/>
        <s v="Suburban Local"/>
        <s v="Special"/>
        <s v="General Demand Response"/>
        <s v="DAR ADA"/>
        <s v="Supporting Local"/>
        <s v="Commuter Van Pool"/>
      </sharedItems>
    </cacheField>
    <cacheField name="Day of Service" numFmtId="0">
      <sharedItems/>
    </cacheField>
    <cacheField name="Total Cost" numFmtId="0">
      <sharedItems containsMixedTypes="1" containsNumber="1" minValue="4516.1925537190082" maxValue="76298154"/>
    </cacheField>
    <cacheField name="Fare Revenue" numFmtId="0">
      <sharedItems containsMixedTypes="1" containsNumber="1" minValue="0" maxValue="7168431"/>
    </cacheField>
    <cacheField name="Total Subsidy" numFmtId="0">
      <sharedItems containsString="0" containsBlank="1" containsNumber="1" minValue="-6348.6518456070626" maxValue="69129723"/>
    </cacheField>
    <cacheField name="Passenger Trips" numFmtId="0">
      <sharedItems containsSemiMixedTypes="0" containsString="0" containsNumber="1" containsInteger="1" minValue="76" maxValue="1977507"/>
    </cacheField>
    <cacheField name="In-Service Hours" numFmtId="0">
      <sharedItems containsMixedTypes="1" containsNumber="1" minValue="40.85" maxValue="1158967"/>
    </cacheField>
    <cacheField name="Comment" numFmtId="0">
      <sharedItems containsBlank="1"/>
    </cacheField>
    <cacheField name="Farebox Recovery" numFmtId="166">
      <sharedItems containsMixedTypes="1" containsNumber="1" minValue="0" maxValue="1.0321004817098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3727.666965625001" createdVersion="6" refreshedVersion="6" minRefreshableVersion="3" recordCount="138" xr:uid="{4E942A7E-1835-4919-A6E9-4FFE881AB1E1}">
  <cacheSource type="worksheet">
    <worksheetSource ref="A1:K139" sheet="Summary of all routes"/>
  </cacheSource>
  <cacheFields count="11">
    <cacheField name="Provider" numFmtId="0">
      <sharedItems count="5">
        <s v="MVTA"/>
        <s v="Plymouth"/>
        <s v="Maple Grove"/>
        <s v="SWTransit"/>
        <s v="MTS"/>
      </sharedItems>
    </cacheField>
    <cacheField name="Route" numFmtId="0">
      <sharedItems containsMixedTypes="1" containsNumber="1" containsInteger="1" minValue="16" maxValue="831"/>
    </cacheField>
    <cacheField name="Route Type" numFmtId="0">
      <sharedItems count="7">
        <s v="Commuter &amp; Express Bus"/>
        <s v="Commuter Van Pool"/>
        <s v="General Demand Response"/>
        <s v="DAR ADA"/>
        <s v="Special"/>
        <s v="Suburban Local"/>
        <s v="Supporting Local"/>
      </sharedItems>
    </cacheField>
    <cacheField name="Day of Service" numFmtId="0">
      <sharedItems/>
    </cacheField>
    <cacheField name="Total Cost" numFmtId="0">
      <sharedItems containsMixedTypes="1" containsNumber="1" minValue="4516.1925537190082" maxValue="76298154"/>
    </cacheField>
    <cacheField name="Fare Revenue" numFmtId="0">
      <sharedItems containsMixedTypes="1" containsNumber="1" minValue="0" maxValue="7168431"/>
    </cacheField>
    <cacheField name="Total Subsidy" numFmtId="0">
      <sharedItems containsString="0" containsBlank="1" containsNumber="1" minValue="-6348.6518456070626" maxValue="69129723"/>
    </cacheField>
    <cacheField name="Passenger Trips" numFmtId="0">
      <sharedItems containsSemiMixedTypes="0" containsString="0" containsNumber="1" containsInteger="1" minValue="76" maxValue="1977507"/>
    </cacheField>
    <cacheField name="In-Service Hours" numFmtId="0">
      <sharedItems containsMixedTypes="1" containsNumber="1" minValue="40.85" maxValue="1158967"/>
    </cacheField>
    <cacheField name="Comment" numFmtId="0">
      <sharedItems containsBlank="1"/>
    </cacheField>
    <cacheField name="Farebox Recovery" numFmtId="166">
      <sharedItems containsMixedTypes="1" containsNumber="1" minValue="0" maxValue="1.0321004817098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3727.667658680555" createdVersion="6" refreshedVersion="6" minRefreshableVersion="3" recordCount="353" xr:uid="{2A0590FC-7EF3-4C7C-9671-44594BB14EFA}">
  <cacheSource type="worksheet">
    <worksheetSource ref="A1:K354" sheet="Summary of all routes"/>
  </cacheSource>
  <cacheFields count="11">
    <cacheField name="Provider" numFmtId="0">
      <sharedItems count="6">
        <s v="MVTA"/>
        <s v="Plymouth"/>
        <s v="Maple Grove"/>
        <s v="SWTransit"/>
        <s v="MTS"/>
        <s v="Metro Transit"/>
      </sharedItems>
    </cacheField>
    <cacheField name="Route" numFmtId="0">
      <sharedItems containsMixedTypes="1" containsNumber="1" containsInteger="1" minValue="2" maxValue="921"/>
    </cacheField>
    <cacheField name="Route Type" numFmtId="0">
      <sharedItems count="11">
        <s v="Commuter &amp; Express Bus"/>
        <s v="Commuter Van Pool"/>
        <s v="General Demand Response"/>
        <s v="DAR ADA"/>
        <s v="Special"/>
        <s v="Suburban Local"/>
        <s v="Supporting Local"/>
        <s v="Core Local"/>
        <s v="BRT - Arterial"/>
        <s v="Commuter Rail"/>
        <s v="Light Rail"/>
      </sharedItems>
    </cacheField>
    <cacheField name="Day of Service" numFmtId="0">
      <sharedItems/>
    </cacheField>
    <cacheField name="Total Cost" numFmtId="0">
      <sharedItems containsMixedTypes="1" containsNumber="1" minValue="4516.1925537190082" maxValue="76298154" count="351">
        <n v="250764.65768326345"/>
        <n v="2245372.829993635"/>
        <n v="919709.48971065914"/>
        <n v="2145379.2843280286"/>
        <n v="679748.68632844498"/>
        <n v="697527.94462215272"/>
        <n v="759219.08783698268"/>
        <n v="892679.23542067828"/>
        <n v="1787334.0777111806"/>
        <n v="618223.22251174808"/>
        <n v="197955.94037387747"/>
        <n v="945571.13104613195"/>
        <n v="494373.06111402984"/>
        <n v="1071269.2566856577"/>
        <n v="243300.11351541901"/>
        <n v="129491.26530883087"/>
        <n v="1028433.0603402476"/>
        <n v="1051880.9583371307"/>
        <n v="77692.432161609904"/>
        <n v="238298.54153284617"/>
        <n v="83447.776197980158"/>
        <n v="255925.50774113712"/>
        <n v="315804.85951476434"/>
        <n v="458481.7363876896"/>
        <n v="287526.72877666721"/>
        <n v="534351.01982550602"/>
        <n v="518749.58892294299"/>
        <n v="362597.27434452646"/>
        <n v="491251.44000074774"/>
        <n v="134093.28596229784"/>
        <n v="69633.772482974513"/>
        <n v="298369.42088851391"/>
        <n v="1762121.7892634284"/>
        <n v="462494.49670881452"/>
        <n v="461288.09653233673"/>
        <n v="871112.88833368407"/>
        <n v="99602.980281398035"/>
        <n v="2913803"/>
        <n v="77858"/>
        <n v="350399"/>
        <n v="1079551"/>
        <n v="490510"/>
        <n v="2480765"/>
        <n v="1386785"/>
        <n v="4516.1925537190082"/>
        <n v="316688.66271395248"/>
        <n v="93536.283924821211"/>
        <n v="53156.818589019342"/>
        <n v="305742.66606030514"/>
        <n v="303589.37263734522"/>
        <n v="5129.1618165289256"/>
        <n v="833156"/>
        <n v="788759.54999999993"/>
        <n v="76298154"/>
        <n v="1147968.2066275401"/>
        <n v="991034"/>
        <n v="90103"/>
        <n v="7007241"/>
        <n v="197774.34815439294"/>
        <s v="--"/>
        <n v="133337"/>
        <n v="715931"/>
        <n v="362762.45666615583"/>
        <n v="108447.03465111906"/>
        <n v="129061.9401128797"/>
        <n v="266334.2328573307"/>
        <n v="934007.0422128588"/>
        <n v="516024.01324438548"/>
        <n v="1771233.7423037621"/>
        <n v="1057228.5060972855"/>
        <n v="952507.10127239709"/>
        <n v="216834.39186915275"/>
        <n v="291071.68167129235"/>
        <n v="303920.07324174512"/>
        <n v="6434.6079755216415"/>
        <n v="121826.26334496499"/>
        <n v="71671.875433777808"/>
        <n v="180009.46072422079"/>
        <n v="104288.22141648406"/>
        <n v="131051.4362813616"/>
        <n v="77473.102057322016"/>
        <n v="193344.99848546609"/>
        <n v="112011.98144893027"/>
        <n v="108368.80419761772"/>
        <n v="130668.15266576959"/>
        <n v="157491.96879277425"/>
        <n v="94882.812070833024"/>
        <n v="55620.166440344947"/>
        <n v="75462.575965179363"/>
        <n v="839951"/>
        <n v="103077.01138415447"/>
        <n v="30438.634042180689"/>
        <n v="91509.08536907594"/>
        <n v="111376.67249372513"/>
        <n v="46948.061480012744"/>
        <n v="67007.618852735948"/>
        <n v="39572.422334190233"/>
        <n v="89617.723989771344"/>
        <n v="78730.835484905678"/>
        <n v="89429.672421625975"/>
        <n v="48594.628030243184"/>
        <n v="1033220.6548756333"/>
        <n v="227321.21453261154"/>
        <n v="203367.96282948804"/>
        <n v="219514.78577991069"/>
        <n v="171934.44419894775"/>
        <n v="610334.30204585427"/>
        <n v="1056183.6303056676"/>
        <n v="832295.30959712307"/>
        <n v="310559.986550709"/>
        <n v="141097.06270877708"/>
        <n v="179917.4610620639"/>
        <n v="332914.3209107602"/>
        <n v="468700.45348603308"/>
        <n v="203313.99306647081"/>
        <n v="217903.05880866692"/>
        <n v="432159.23539605504"/>
        <n v="550607.08847054362"/>
        <n v="254966.95214362995"/>
        <n v="17374.968545454547"/>
        <n v="123274.51127390889"/>
        <n v="63413.431966057688"/>
        <n v="123046.66568990084"/>
        <n v="15961.278190082645"/>
        <n v="182530.55473042087"/>
        <n v="19636.319249586777"/>
        <n v="132405.58618308735"/>
        <n v="36816.230827874351"/>
        <n v="132161.34462989349"/>
        <n v="14182.833150413224"/>
        <n v="196672.96610930478"/>
        <n v="68162.511626446285"/>
        <n v="198839.54029937569"/>
        <n v="740903.76198727987"/>
        <n v="302711.37223541766"/>
        <n v="600486.51163716486"/>
        <n v="72173.734867768595"/>
        <n v="1091659.8018111223"/>
        <n v="6029659.9676695131"/>
        <n v="8334695.0912415227"/>
        <n v="8472733.3910882808"/>
        <n v="12818463.89002654"/>
        <n v="10417667.884550348"/>
        <n v="3346123.4161249902"/>
        <n v="4356100.4575872812"/>
        <n v="8311803.0740515152"/>
        <n v="5862003.8227913631"/>
        <n v="1992431.9568934722"/>
        <n v="6991607.3650881946"/>
        <n v="1976459.6628067482"/>
        <n v="6364218.6786776735"/>
        <n v="9821024.6610060688"/>
        <n v="6977505.2664347403"/>
        <n v="185205.72878988061"/>
        <n v="10789554.871321255"/>
        <n v="7540097.1816556845"/>
        <n v="2833949.7695562788"/>
        <n v="2088526.9987170175"/>
        <n v="2105422.0142270997"/>
        <n v="220878.33153665464"/>
        <n v="2878662.5669932058"/>
        <n v="850877.04069158121"/>
        <n v="6279223.7968083592"/>
        <n v="941796.04162468773"/>
        <n v="3854303.6453860905"/>
        <n v="4239345.2568004411"/>
        <n v="5453775.9134350559"/>
        <n v="6036968.8564401576"/>
        <n v="2431160.5535372626"/>
        <n v="2979471.6014236677"/>
        <n v="4772499.4708147626"/>
        <n v="1801984.1803154997"/>
        <n v="3425476.0833892557"/>
        <n v="5612809.9073081287"/>
        <n v="1495917.0716476811"/>
        <n v="2144630.1114290538"/>
        <n v="2621718.3416112987"/>
        <n v="133959.62362965973"/>
        <n v="478295.60635169246"/>
        <n v="640337.03949879156"/>
        <n v="85855.721826147623"/>
        <n v="118842.66892493381"/>
        <n v="151220.42736419284"/>
        <n v="571607.35732448078"/>
        <n v="862524.50783876283"/>
        <n v="473489.47911681468"/>
        <n v="439205.77150801738"/>
        <n v="856960.67642465525"/>
        <n v="955165.18868548679"/>
        <n v="2730364.3199935695"/>
        <n v="134578.43829509523"/>
        <n v="637625.25612048525"/>
        <n v="240032.70814741889"/>
        <n v="494562.18119042413"/>
        <n v="964070.6192929449"/>
        <n v="396609.32022687444"/>
        <n v="2062861.3166821783"/>
        <n v="165546.67444086209"/>
        <n v="704732.26872765506"/>
        <n v="1134765.8317502292"/>
        <n v="794054.72782393638"/>
        <n v="430619.37423918245"/>
        <n v="63219.481364536485"/>
        <n v="1379128.867411989"/>
        <n v="461778.7553593833"/>
        <n v="1222622.3876612778"/>
        <n v="948039.19402706984"/>
        <n v="62904.573457015409"/>
        <n v="269926.95706273185"/>
        <n v="1760798.6264715514"/>
        <n v="3276392.6293363599"/>
        <n v="3715265.6160687543"/>
        <n v="553702.9863378976"/>
        <n v="632703.61681472824"/>
        <n v="686044.06583151687"/>
        <n v="569701.40815493907"/>
        <n v="843463.6409996727"/>
        <n v="193049.548460194"/>
        <n v="426988.99486862961"/>
        <n v="182026.39655324596"/>
        <n v="466092.5811493154"/>
        <n v="1074452.0290258287"/>
        <n v="1262192.1476565928"/>
        <n v="287561.79988392652"/>
        <n v="3393509.4929165868"/>
        <n v="208335.64584013892"/>
        <n v="574022.10966337775"/>
        <n v="448875.78201321285"/>
        <n v="771087.07773039432"/>
        <n v="286691.33392121474"/>
        <n v="689695.0723575817"/>
        <n v="773230.92676020111"/>
        <n v="304009.8936911872"/>
        <n v="406711.12585417664"/>
        <n v="109207.03701226129"/>
        <n v="1306906.3202372193"/>
        <n v="1284733.5032028321"/>
        <n v="1077782.6270695706"/>
        <n v="2609322.7962907818"/>
        <n v="1095556.3594045658"/>
        <n v="309917.51103053964"/>
        <n v="597163.02786324418"/>
        <n v="724142.42206679645"/>
        <n v="460022.69685324776"/>
        <n v="150516.35378929728"/>
        <n v="424288.21263993118"/>
        <n v="311061.63058974507"/>
        <n v="316907.3664625528"/>
        <n v="1516177.0637940096"/>
        <n v="418159.19716472214"/>
        <n v="1520660.032259173"/>
        <n v="281618.42880834889"/>
        <n v="965458.13928721461"/>
        <n v="2474652.2233677288"/>
        <n v="2059167.6807013811"/>
        <n v="951096.13847432157"/>
        <n v="946860.69587534992"/>
        <n v="896787.58829204843"/>
        <n v="5888698.1123145726"/>
        <n v="899508.99767626182"/>
        <n v="981675.20895271678"/>
        <n v="1246919.8017136559"/>
        <n v="2020622.4027632892"/>
        <n v="1360931.5908170936"/>
        <n v="639957.49983732391"/>
        <n v="697816.67105549306"/>
        <n v="1331449.8850120723"/>
        <n v="971114.10532929306"/>
        <n v="964835.19919067959"/>
        <n v="372541.55517255847"/>
        <n v="876281.44542323577"/>
        <n v="1652530.8126070586"/>
        <n v="915852.58056224894"/>
        <n v="1924329.3402468034"/>
        <n v="1131684.1347163571"/>
        <n v="511450.32098199677"/>
        <n v="149808.1547832998"/>
        <n v="336118.12396505638"/>
        <n v="397140.12569544825"/>
        <n v="1013024.3599036513"/>
        <n v="287460.03925005492"/>
        <n v="691805.91793856851"/>
        <n v="986308.06808127218"/>
        <n v="939863.96472482709"/>
        <n v="444770.97806582815"/>
        <n v="488127.88381360378"/>
        <n v="803213.1848723765"/>
        <n v="77255.573120302768"/>
        <n v="427606.4343903634"/>
        <n v="933274.27610979637"/>
        <n v="330723.43522616441"/>
        <n v="14177.731556965482"/>
        <n v="530696.83222072537"/>
        <n v="295999.68163305748"/>
        <n v="385687.92895379913"/>
        <n v="217941.02459139016"/>
        <n v="165092.87701954329"/>
        <n v="249774.22612506535"/>
        <n v="92067.245923413837"/>
        <n v="281713.31372371531"/>
        <n v="180520.61420068741"/>
        <n v="1141729.5594519179"/>
        <n v="862044.58268712903"/>
        <n v="705975.3986333278"/>
        <n v="1003043.566922036"/>
        <n v="1739631.03948258"/>
        <n v="1326568.1248736414"/>
        <n v="706716.60108814889"/>
        <n v="727891.06379563164"/>
        <n v="1005678.3422530883"/>
        <n v="670253.29071331886"/>
        <n v="941573.2683451284"/>
        <n v="366332.78136269422"/>
        <n v="735342.96751117066"/>
        <n v="1410471.1426444161"/>
        <n v="894079.93034484645"/>
        <n v="1536798.7187337126"/>
        <n v="905437.2421711284"/>
        <n v="458206.13202427147"/>
        <n v="336404.15385485749"/>
        <n v="352090.41805178323"/>
        <n v="733791.80541647994"/>
        <n v="469148.15045286232"/>
        <n v="1028903.144218713"/>
        <n v="723134.44173398858"/>
        <n v="453566.3971772106"/>
        <n v="436675.50709823787"/>
        <n v="540991.1579661608"/>
        <n v="85580.693085954466"/>
        <n v="147134.87542862067"/>
        <n v="768042.50957645499"/>
        <n v="259683.51163423082"/>
        <n v="7059.987760762443"/>
        <n v="436931.2838266177"/>
        <n v="310775.60069994314"/>
        <n v="278100.81122127653"/>
        <n v="179585.51648403"/>
        <n v="189248.65127072236"/>
        <n v="243184.53751003373"/>
        <n v="92178.632563192135"/>
        <n v="283997.42741102085"/>
        <n v="1188012.7709953506"/>
        <n v="14663149.584095674"/>
        <n v="844680.00097318634"/>
        <n v="706003.28493113932"/>
        <n v="27155242.92455402"/>
        <n v="26528309.07909501"/>
        <n v="5033693.1533778803"/>
        <n v="4684535.5463040872"/>
        <n v="4926987.1223446922"/>
        <n v="4794911.7293242998"/>
      </sharedItems>
    </cacheField>
    <cacheField name="Fare Revenue" numFmtId="0">
      <sharedItems containsMixedTypes="1" containsNumber="1" minValue="0" maxValue="11622083.508550052"/>
    </cacheField>
    <cacheField name="Total Subsidy" numFmtId="0">
      <sharedItems containsString="0" containsBlank="1" containsNumber="1" minValue="-6348.6518456070626" maxValue="69129723"/>
    </cacheField>
    <cacheField name="Passenger Trips" numFmtId="0">
      <sharedItems containsSemiMixedTypes="0" containsString="0" containsNumber="1" minValue="76" maxValue="10770751"/>
    </cacheField>
    <cacheField name="In-Service Hours" numFmtId="0">
      <sharedItems containsMixedTypes="1" containsNumber="1" minValue="35.769999999999996" maxValue="1158967"/>
    </cacheField>
    <cacheField name="Comment" numFmtId="0">
      <sharedItems containsBlank="1"/>
    </cacheField>
    <cacheField name="Farebox Recovery" numFmtId="166">
      <sharedItems containsMixedTypes="1" containsNumber="1" minValue="0" maxValue="1.0321004817098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3728.55519861111" createdVersion="6" refreshedVersion="6" minRefreshableVersion="3" recordCount="356" xr:uid="{AEA0A9A3-A797-4290-885B-0147FADA3D50}">
  <cacheSource type="worksheet">
    <worksheetSource ref="A1:I357" sheet="Summary of all routes"/>
  </cacheSource>
  <cacheFields count="9">
    <cacheField name="Provider" numFmtId="0">
      <sharedItems count="6">
        <s v="MVTA"/>
        <s v="Plymouth"/>
        <s v="Maple Grove"/>
        <s v="SWTransit"/>
        <s v="MTS"/>
        <s v="Metro Transit"/>
      </sharedItems>
    </cacheField>
    <cacheField name="Route" numFmtId="0">
      <sharedItems containsMixedTypes="1" containsNumber="1" containsInteger="1" minValue="2" maxValue="921"/>
    </cacheField>
    <cacheField name="Route Type" numFmtId="0">
      <sharedItems count="12">
        <s v="Commuter &amp; Express Bus"/>
        <s v="Commuter Van Pool"/>
        <s v="General Demand Response"/>
        <s v="DAR ADA"/>
        <s v="Special"/>
        <s v="Suburban Local"/>
        <s v="Supporting Local"/>
        <s v="Core Local"/>
        <s v="BRT - Arterial"/>
        <s v="Commuter Rail"/>
        <s v="Light Rail"/>
        <s v="Highway BRT"/>
      </sharedItems>
    </cacheField>
    <cacheField name="Day of Service" numFmtId="0">
      <sharedItems/>
    </cacheField>
    <cacheField name="Total Cost" numFmtId="0">
      <sharedItems containsMixedTypes="1" containsNumber="1" minValue="4516.1925537190082" maxValue="76298154"/>
    </cacheField>
    <cacheField name="Fare Revenue" numFmtId="0">
      <sharedItems containsMixedTypes="1" containsNumber="1" minValue="0" maxValue="11622083.508550052"/>
    </cacheField>
    <cacheField name="Total Subsidy" numFmtId="0">
      <sharedItems containsString="0" containsBlank="1" containsNumber="1" minValue="-6348.6518456070626" maxValue="69129723"/>
    </cacheField>
    <cacheField name="Passenger Trips" numFmtId="0">
      <sharedItems containsSemiMixedTypes="0" containsString="0" containsNumber="1" minValue="76" maxValue="10770751"/>
    </cacheField>
    <cacheField name="In-Service Hours" numFmtId="0">
      <sharedItems containsMixedTypes="1" containsNumber="1" minValue="35.769999999999996" maxValue="1158967" count="353">
        <n v="1665.0000000000007"/>
        <n v="9565.0190000000039"/>
        <n v="4819.6499999999996"/>
        <n v="11820.544999999996"/>
        <n v="3449.1490000000003"/>
        <n v="3748.1949999999997"/>
        <n v="4233.4490000000005"/>
        <n v="5009.146999999999"/>
        <n v="8924.3990000000013"/>
        <n v="3348.1509999999998"/>
        <n v="1091.9480000000001"/>
        <n v="4964.244999999999"/>
        <n v="2626.6459999999993"/>
        <n v="6388.8509999999987"/>
        <n v="1551.6489999999997"/>
        <n v="956.43399999999997"/>
        <n v="5317.8940000000002"/>
        <n v="6689.3410000000003"/>
        <n v="254.71800000000002"/>
        <n v="1422.8980000000001"/>
        <n v="273.58600000000001"/>
        <n v="1527.3590000000004"/>
        <n v="2082.37"/>
        <n v="2762.369999999999"/>
        <n v="2118.7000000000007"/>
        <n v="4013.559999999999"/>
        <n v="3636.7599999999998"/>
        <n v="2569.8900000000012"/>
        <n v="3754.4500000000016"/>
        <n v="1013.1200000000001"/>
        <n v="561.70000000000005"/>
        <n v="1547.241"/>
        <n v="8267.6149999999998"/>
        <n v="2386.5700000000002"/>
        <n v="2298.0209999999997"/>
        <n v="3980.2529999999997"/>
        <n v="480.95600000000002"/>
        <n v="11904"/>
        <n v="271.77999999999997"/>
        <n v="1212.5"/>
        <n v="3639.38"/>
        <n v="1684.27"/>
        <n v="10242.83"/>
        <n v="4873.3"/>
        <n v="40.85"/>
        <n v="1441.8139999999999"/>
        <n v="1175.6599999999999"/>
        <n v="607"/>
        <n v="1796.3"/>
        <n v="1783.65"/>
        <n v="46.17"/>
        <n v="31763"/>
        <n v="10913"/>
        <n v="1158967"/>
        <n v="9422"/>
        <n v="27155.09"/>
        <n v="2353.9499999999998"/>
        <n v="109827"/>
        <s v="--"/>
        <n v="414.86000000000013"/>
        <n v="2364"/>
        <n v="3745.8599999999992"/>
        <n v="1164.3059999999998"/>
        <n v="810.61199999999985"/>
        <n v="1199.4480000000001"/>
        <n v="6859.3990000000013"/>
        <n v="5846.1049999999996"/>
        <n v="14040.740999999995"/>
        <n v="8697.4569999999967"/>
        <n v="7306.3999999999987"/>
        <n v="1264.4939999999999"/>
        <n v="3074.3990000000003"/>
        <n v="3070.407999999999"/>
        <n v="45.035999999999987"/>
        <n v="970.12799999999993"/>
        <n v="594.21599999999989"/>
        <n v="1293.0839999999998"/>
        <n v="829.548"/>
        <n v="1043.8119999999999"/>
        <n v="642.53199999999993"/>
        <n v="1388.8679999999999"/>
        <n v="890.99599999999987"/>
        <n v="874.92999999999961"/>
        <n v="1083.0600000000002"/>
        <n v="1141.19"/>
        <n v="752.7199999999998"/>
        <n v="224"/>
        <n v="494"/>
        <n v="3938.74"/>
        <n v="1342.2"/>
        <n v="334.79999999999995"/>
        <n v="1179.9000000000001"/>
        <n v="1432.0800000000002"/>
        <n v="599.4"/>
        <n v="1090.8"/>
        <n v="604.79999999999995"/>
        <n v="997.21800000000007"/>
        <n v="1016.1600000000001"/>
        <n v="1145.5"/>
        <n v="609"/>
        <n v="13284.612000000001"/>
        <n v="2686.6880000000001"/>
        <n v="2302.3000000000002"/>
        <n v="2378.1999999999998"/>
        <n v="1505.35"/>
        <n v="7493.8600000000006"/>
        <n v="12954.358999999999"/>
        <n v="10946.2"/>
        <n v="4000.3"/>
        <n v="1733.05"/>
        <n v="2454.1"/>
        <n v="5439.5"/>
        <n v="5667.2"/>
        <n v="3036"/>
        <n v="3440.8"/>
        <n v="4440.1499999999996"/>
        <n v="6013.0510000000004"/>
        <n v="2635.5009999999997"/>
        <n v="155.1"/>
        <n v="1647"/>
        <n v="732.78000000000009"/>
        <n v="1904.5799999999997"/>
        <n v="143.15"/>
        <n v="2144.8799999999997"/>
        <n v="171.17999999999998"/>
        <n v="1769"/>
        <n v="425.14000000000004"/>
        <n v="2045.6599999999999"/>
        <n v="126.47999999999999"/>
        <n v="2324.6400000000003"/>
        <n v="653.22"/>
        <n v="2788.06"/>
        <n v="9689.9"/>
        <n v="3526.0610000000001"/>
        <n v="9500.15"/>
        <n v="680.51666666666665"/>
        <n v="12940.95"/>
        <n v="34245.459999999934"/>
        <n v="45503.829999999813"/>
        <n v="45790.789999999797"/>
        <n v="71385.460000000006"/>
        <n v="55663.519999999939"/>
        <n v="18936.200000000023"/>
        <n v="23429.679999999902"/>
        <n v="46708.960000000116"/>
        <n v="33264.919999999896"/>
        <n v="10514.229999999969"/>
        <n v="38569.950000000026"/>
        <n v="10610.810000000014"/>
        <n v="34088.840000000193"/>
        <n v="53329.889999999919"/>
        <n v="35110.039999999964"/>
        <n v="469.2"/>
        <n v="59311.149999999936"/>
        <n v="43373.860000000052"/>
        <n v="14844.519999999988"/>
        <n v="11314.949999999957"/>
        <n v="10562.209999999974"/>
        <n v="682.08999999999878"/>
        <n v="15180.009999999918"/>
        <n v="4114.4899999999861"/>
        <n v="34157.409999999953"/>
        <n v="4235.6599999999835"/>
        <n v="21756.000000000073"/>
        <n v="22834.660000000058"/>
        <n v="31867.579999999856"/>
        <n v="32159.050000000112"/>
        <n v="11839.339999999929"/>
        <n v="15835.399999999989"/>
        <n v="26305.199999999877"/>
        <n v="9566.3499999999785"/>
        <n v="18363.239999999998"/>
        <n v="31594.829999999896"/>
        <n v="7885.9499999999643"/>
        <n v="10605.02"/>
        <n v="12453.349999999946"/>
        <n v="554.56000000000063"/>
        <n v="1778.4800000000073"/>
        <n v="1952.139999999999"/>
        <n v="342.52999999999867"/>
        <n v="503.09999999999786"/>
        <n v="379.5"/>
        <n v="2174.4900000000016"/>
        <n v="3411.5099999999975"/>
        <n v="1730.9699999999957"/>
        <n v="2302.1400000000026"/>
        <n v="3318.5899999999901"/>
        <n v="4265.1499999999869"/>
        <n v="10315.439999999955"/>
        <n v="506.15000000000026"/>
        <n v="2277"/>
        <n v="1029.1399999999996"/>
        <n v="1666.440000000001"/>
        <n v="3761.5700000000165"/>
        <n v="1839.3099999999963"/>
        <n v="7490.4800000000196"/>
        <n v="648.15000000000077"/>
        <n v="2765.2899999999931"/>
        <n v="4260.520000000015"/>
        <n v="4143.6799999999985"/>
        <n v="1769.7200000000003"/>
        <n v="201.7199999999996"/>
        <n v="5349.439999999985"/>
        <n v="1641.6900000000014"/>
        <n v="4171.1500000000133"/>
        <n v="3340.9400000000151"/>
        <n v="270.70999999999873"/>
        <n v="1295.3599999999949"/>
        <n v="5792.1599999999808"/>
        <n v="15885.500000000018"/>
        <n v="18712.449999999943"/>
        <n v="2205.3700000000035"/>
        <n v="2460.9599999999991"/>
        <n v="3117.9599999999846"/>
        <n v="2360.4999999999955"/>
        <n v="3532.4900000000162"/>
        <n v="559.90000000000089"/>
        <n v="1769.0200000000032"/>
        <n v="809.60000000000286"/>
        <n v="2231.4599999999987"/>
        <n v="4408.9600000000137"/>
        <n v="6791.3100000000031"/>
        <n v="1277.649999999994"/>
        <n v="18005.15999999992"/>
        <n v="901.69999999999516"/>
        <n v="2311.8199999999852"/>
        <n v="1774.6"/>
        <n v="3117.9799999999873"/>
        <n v="1345.8799999999949"/>
        <n v="3124.5499999999861"/>
        <n v="2879.5400000000091"/>
        <n v="1370.6900000000028"/>
        <n v="1673.2600000000048"/>
        <n v="465.51999999999759"/>
        <n v="7104.1400000000185"/>
        <n v="6675.0599999999704"/>
        <n v="5508.059999999974"/>
        <n v="12672.339999999944"/>
        <n v="5569.7099999999909"/>
        <n v="1369.9000000000028"/>
        <n v="2360.4899999999916"/>
        <n v="3274.52000000001"/>
        <n v="1977.4599999999989"/>
        <n v="568.62"/>
        <n v="1972.8100000000068"/>
        <n v="1419.9999999999966"/>
        <n v="1193.3999999999976"/>
        <n v="6571.1299999999665"/>
        <n v="1607.8699999999919"/>
        <n v="5466.1400000000031"/>
        <n v="1164.9000000000019"/>
        <n v="4634.1200000000035"/>
        <n v="9403.360000000017"/>
        <n v="10857.350000000022"/>
        <n v="3812.180000000013"/>
        <n v="3693.7999999999847"/>
        <n v="3229.419999999991"/>
        <n v="27165.830000000129"/>
        <n v="5012.3199999999961"/>
        <n v="5338.3199999999961"/>
        <n v="6860.06"/>
        <n v="11219.44"/>
        <n v="7383.4799999999923"/>
        <n v="3727.3599999999974"/>
        <n v="3913.7799999999961"/>
        <n v="7345.5600000000022"/>
        <n v="5571.7999999999975"/>
        <n v="5547.6599999999953"/>
        <n v="1928.4099999999989"/>
        <n v="4836"/>
        <n v="9137.2200000000066"/>
        <n v="4576.7299999999977"/>
        <n v="10649.379999999992"/>
        <n v="6438.1200000000063"/>
        <n v="2756.2900000000013"/>
        <n v="878.79999999999927"/>
        <n v="1761.239999999998"/>
        <n v="2256.239999999998"/>
        <n v="5526.2399999999961"/>
        <n v="1546.4800000000002"/>
        <n v="3747.6400000000026"/>
        <n v="5649.2800000000016"/>
        <n v="5169.840000000002"/>
        <n v="2077.4000000000015"/>
        <n v="2478.4900000000011"/>
        <n v="4627.4799999999941"/>
        <n v="403"/>
        <n v="2127.3599999999997"/>
        <n v="5389.0000000000009"/>
        <n v="1663.8000000000013"/>
        <n v="71.539999999999992"/>
        <n v="2563.3500000000026"/>
        <n v="1509.5700000000004"/>
        <n v="2026.9600000000007"/>
        <n v="1318.8000000000013"/>
        <n v="858"/>
        <n v="1207.9600000000005"/>
        <n v="466.96000000000032"/>
        <n v="1252.5600000000006"/>
        <n v="1018.9999999999992"/>
        <n v="5219.9999999999982"/>
        <n v="4607.6200000000008"/>
        <n v="3922.6399999999971"/>
        <n v="5420.4200000000028"/>
        <n v="9772.9300000000057"/>
        <n v="7089.5699999999897"/>
        <n v="4022.8800000000056"/>
        <n v="4005.0399999999977"/>
        <n v="5122.6600000000044"/>
        <n v="3735.0600000000045"/>
        <n v="5066.2600000000011"/>
        <n v="1980.6799999999985"/>
        <n v="4056.6599999999971"/>
        <n v="7574.0100000000039"/>
        <n v="4472.1600000000035"/>
        <n v="8362.0000000000055"/>
        <n v="5311.6399999999976"/>
        <n v="2326.6200000000008"/>
        <n v="1749.020000000002"/>
        <n v="1858.4600000000007"/>
        <n v="3950.2200000000003"/>
        <n v="2424.4"/>
        <n v="5700.24"/>
        <n v="3953.279999999997"/>
        <n v="2200.5200000000023"/>
        <n v="2211.1799999999976"/>
        <n v="3092.5600000000027"/>
        <n v="428.03999999999979"/>
        <n v="782.7499999999992"/>
        <n v="4052.3200000000006"/>
        <n v="1346.8000000000004"/>
        <n v="35.769999999999996"/>
        <n v="1924.3100000000002"/>
        <n v="1583.3499999999997"/>
        <n v="1388.5200000000018"/>
        <n v="1071.2199999999993"/>
        <n v="957"/>
        <n v="1261.5"/>
        <n v="473.86000000000024"/>
        <n v="1235.4400000000003"/>
        <n v="5336.5800000000072"/>
        <n v="2636.4"/>
        <n v="287.75"/>
        <n v="266.93"/>
        <n v="37987.379999999997"/>
        <n v="46062.34"/>
        <n v="7453.34"/>
        <n v="8938.1"/>
        <n v="7764.88"/>
        <n v="9414.69"/>
        <n v="1394.82"/>
        <n v="1498.14"/>
        <n v="9167.04000000000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, Daniel" refreshedDate="43728.558839004632" createdVersion="6" refreshedVersion="6" minRefreshableVersion="3" recordCount="356" xr:uid="{71B3529B-9902-4FBA-AF87-E5EC5B0D3B87}">
  <cacheSource type="worksheet">
    <worksheetSource ref="A1:K357" sheet="Summary of all routes"/>
  </cacheSource>
  <cacheFields count="11">
    <cacheField name="Provider" numFmtId="0">
      <sharedItems count="6">
        <s v="MVTA"/>
        <s v="Plymouth"/>
        <s v="Maple Grove"/>
        <s v="SWTransit"/>
        <s v="MTS"/>
        <s v="Metro Transit"/>
      </sharedItems>
    </cacheField>
    <cacheField name="Route" numFmtId="0">
      <sharedItems containsMixedTypes="1" containsNumber="1" containsInteger="1" minValue="2" maxValue="921"/>
    </cacheField>
    <cacheField name="Route Type" numFmtId="0">
      <sharedItems count="12">
        <s v="Commuter &amp; Express Bus"/>
        <s v="Commuter Van Pool"/>
        <s v="General Demand Response"/>
        <s v="DAR ADA"/>
        <s v="Special"/>
        <s v="Suburban Local"/>
        <s v="Supporting Local"/>
        <s v="Core Local"/>
        <s v="BRT - Arterial"/>
        <s v="Commuter Rail"/>
        <s v="Light Rail"/>
        <s v="Highway BRT"/>
      </sharedItems>
    </cacheField>
    <cacheField name="Day of Service" numFmtId="0">
      <sharedItems count="6">
        <s v="Weekday"/>
        <s v="Saturday"/>
        <s v="Sunday"/>
        <s v="All Days"/>
        <s v="Special"/>
        <s v="Sunday / Holiday"/>
      </sharedItems>
    </cacheField>
    <cacheField name="Total Cost" numFmtId="0">
      <sharedItems containsMixedTypes="1" containsNumber="1" minValue="4516.1925537190082" maxValue="76298154"/>
    </cacheField>
    <cacheField name="Fare Revenue" numFmtId="0">
      <sharedItems containsMixedTypes="1" containsNumber="1" minValue="0" maxValue="11622083.508550052"/>
    </cacheField>
    <cacheField name="Total Subsidy" numFmtId="0">
      <sharedItems containsString="0" containsBlank="1" containsNumber="1" minValue="-6348.6518456070626" maxValue="69129723"/>
    </cacheField>
    <cacheField name="Passenger Trips" numFmtId="0">
      <sharedItems containsSemiMixedTypes="0" containsString="0" containsNumber="1" minValue="76" maxValue="10770751"/>
    </cacheField>
    <cacheField name="In-Service Hours" numFmtId="0">
      <sharedItems containsMixedTypes="1" containsNumber="1" minValue="35.769999999999996" maxValue="1158967"/>
    </cacheField>
    <cacheField name="Comment" numFmtId="0">
      <sharedItems containsBlank="1"/>
    </cacheField>
    <cacheField name="Farebox Recovery" numFmtId="166">
      <sharedItems containsMixedTypes="1" containsNumber="1" minValue="0" maxValue="1.0321004817098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x v="0"/>
    <n v="416"/>
    <x v="0"/>
    <s v="Weekday"/>
    <n v="250764.65768326345"/>
    <n v="5351.9923228285734"/>
    <n v="245412.66536043488"/>
    <n v="6818"/>
    <n v="1665.0000000000007"/>
    <s v="35W@94 Construction Service new Route 416 between Eagan &amp; 46th Street LRT from July to December 2018"/>
    <n v="2.1342689884108722E-2"/>
  </r>
  <r>
    <x v="0"/>
    <n v="420"/>
    <x v="1"/>
    <s v="Weekday"/>
    <n v="362762.45666615583"/>
    <n v="19013.718688996662"/>
    <n v="343748.73797715915"/>
    <n v="17255"/>
    <n v="3745.8599999999992"/>
    <s v="Route 420 new extension to Dakota County Technical College August 2018; new weekend service added November 2018"/>
    <n v="5.2413689287848952E-2"/>
  </r>
  <r>
    <x v="0"/>
    <n v="421"/>
    <x v="1"/>
    <s v="Weekday"/>
    <n v="108447.03465111906"/>
    <n v="4208.3631571873939"/>
    <n v="104238.67149393166"/>
    <n v="4858"/>
    <n v="1164.3059999999998"/>
    <m/>
    <n v="3.8805700595926508E-2"/>
  </r>
  <r>
    <x v="0"/>
    <n v="426"/>
    <x v="1"/>
    <s v="Weekday"/>
    <n v="129061.9401128797"/>
    <n v="10994.270675022966"/>
    <n v="118067.66943785673"/>
    <n v="8052"/>
    <n v="810.61199999999985"/>
    <m/>
    <n v="8.5186001894959854E-2"/>
  </r>
  <r>
    <x v="0"/>
    <n v="436"/>
    <x v="1"/>
    <s v="Weekday"/>
    <n v="266334.2328573307"/>
    <n v="32872.574151921282"/>
    <n v="233461.65870540941"/>
    <n v="27011"/>
    <n v="1199.4480000000001"/>
    <s v="Route 436 one trip eliminated August 2018"/>
    <n v="0.12342601925127059"/>
  </r>
  <r>
    <x v="0"/>
    <n v="440"/>
    <x v="1"/>
    <s v="Weekday"/>
    <n v="934007.0422128588"/>
    <n v="58864.513032416362"/>
    <n v="875142.52918044245"/>
    <n v="43965"/>
    <n v="6859.3990000000013"/>
    <s v="Route 440 weekday and weekend trip reductions November 2018"/>
    <n v="6.3023628700865003E-2"/>
  </r>
  <r>
    <x v="0"/>
    <n v="442"/>
    <x v="1"/>
    <s v="Weekday"/>
    <n v="516024.01324438548"/>
    <n v="24249.415747149993"/>
    <n v="491774.59749723552"/>
    <n v="26968"/>
    <n v="5846.1049999999996"/>
    <s v="Route 442 weekday and weekend trip reductions November 2018"/>
    <n v="4.6992804840005835E-2"/>
  </r>
  <r>
    <x v="0"/>
    <n v="444"/>
    <x v="1"/>
    <s v="Weekday"/>
    <n v="1771233.7423037621"/>
    <n v="201456.16592191972"/>
    <n v="1569777.5763818424"/>
    <n v="197660"/>
    <n v="14040.740999999995"/>
    <m/>
    <n v="0.11373776431104737"/>
  </r>
  <r>
    <x v="0"/>
    <s v="445 /437 /438 "/>
    <x v="1"/>
    <s v="Weekday"/>
    <n v="1057228.5060972855"/>
    <n v="92356.556821736594"/>
    <n v="964871.94927554892"/>
    <n v="79444"/>
    <n v="8697.4569999999967"/>
    <s v="Route 437 eliminated November 2018; Route 445 two trips added November 2018"/>
    <n v="8.7357232886830616E-2"/>
  </r>
  <r>
    <x v="0"/>
    <n v="446"/>
    <x v="1"/>
    <s v="Weekday"/>
    <n v="952507.10127239709"/>
    <n v="92146.925797107731"/>
    <n v="860360.17547528935"/>
    <n v="77552"/>
    <n v="7306.3999999999987"/>
    <m/>
    <n v="9.6741458067886504E-2"/>
  </r>
  <r>
    <x v="0"/>
    <n v="460"/>
    <x v="0"/>
    <s v="Weekday"/>
    <n v="2245372.829993635"/>
    <n v="1034817.5589223363"/>
    <n v="1210555.2710712985"/>
    <n v="395097"/>
    <n v="9565.0190000000039"/>
    <s v="35W@94 Construction service Route 460 extension to Heart of the City from July 2018 through February 2019"/>
    <n v="0.46086669665690655"/>
  </r>
  <r>
    <x v="0"/>
    <n v="464"/>
    <x v="0"/>
    <s v="Weekday"/>
    <n v="919709.48971065914"/>
    <n v="141772.63268813721"/>
    <n v="777936.8570225219"/>
    <n v="54608"/>
    <n v="4819.6499999999996"/>
    <m/>
    <n v="0.15414936376565921"/>
  </r>
  <r>
    <x v="0"/>
    <n v="465"/>
    <x v="0"/>
    <s v="Weekday"/>
    <n v="2145379.2843280286"/>
    <n v="495713.35156860796"/>
    <n v="1649665.9327594205"/>
    <n v="231204"/>
    <n v="11820.544999999996"/>
    <m/>
    <n v="0.23106093882316681"/>
  </r>
  <r>
    <x v="0"/>
    <n v="470"/>
    <x v="0"/>
    <s v="Weekday"/>
    <n v="679748.68632844498"/>
    <n v="267353.93378234422"/>
    <n v="412394.75254610076"/>
    <n v="103128"/>
    <n v="3449.1490000000003"/>
    <m/>
    <n v="0.39331290984380451"/>
  </r>
  <r>
    <x v="0"/>
    <n v="472"/>
    <x v="0"/>
    <s v="Weekday"/>
    <n v="697527.94462215272"/>
    <n v="222100.24874315257"/>
    <n v="475427.69587900012"/>
    <n v="70428"/>
    <n v="3748.1949999999997"/>
    <m/>
    <n v="0.31841053889742454"/>
  </r>
  <r>
    <x v="0"/>
    <n v="475"/>
    <x v="0"/>
    <s v="Weekday"/>
    <n v="759219.08783698268"/>
    <n v="139956.40945427879"/>
    <n v="619262.67838270392"/>
    <n v="57878"/>
    <n v="4233.4490000000005"/>
    <m/>
    <n v="0.18434258529117728"/>
  </r>
  <r>
    <x v="0"/>
    <n v="476"/>
    <x v="0"/>
    <s v="Weekday"/>
    <n v="892679.23542067828"/>
    <n v="255373.17631088529"/>
    <n v="637306.05910979304"/>
    <n v="92676"/>
    <n v="5009.146999999999"/>
    <m/>
    <n v="0.28607495971443736"/>
  </r>
  <r>
    <x v="0"/>
    <n v="477"/>
    <x v="0"/>
    <s v="Weekday"/>
    <n v="1787334.0777111806"/>
    <n v="902981.20012595097"/>
    <n v="884352.87758522958"/>
    <n v="349669"/>
    <n v="8924.3990000000013"/>
    <m/>
    <n v="0.50521120331476488"/>
  </r>
  <r>
    <x v="0"/>
    <n v="478"/>
    <x v="0"/>
    <s v="Weekday"/>
    <n v="618223.22251174808"/>
    <n v="110208.09586280129"/>
    <n v="508015.12664894678"/>
    <n v="39323"/>
    <n v="3348.1509999999998"/>
    <s v="Route 478 one trip added August 2018"/>
    <n v="0.17826586231271344"/>
  </r>
  <r>
    <x v="0"/>
    <n v="479"/>
    <x v="0"/>
    <s v="Weekday"/>
    <n v="197955.94037387747"/>
    <n v="30896.067999121897"/>
    <n v="167059.87237475556"/>
    <n v="11297"/>
    <n v="1091.9480000000001"/>
    <m/>
    <n v="0.15607547791073503"/>
  </r>
  <r>
    <x v="0"/>
    <n v="480"/>
    <x v="0"/>
    <s v="Weekday"/>
    <n v="945571.13104613195"/>
    <n v="355468.09623588074"/>
    <n v="590103.03481025121"/>
    <n v="134129"/>
    <n v="4964.244999999999"/>
    <m/>
    <n v="0.37592951451744183"/>
  </r>
  <r>
    <x v="0"/>
    <n v="484"/>
    <x v="0"/>
    <s v="Weekday"/>
    <n v="494373.06111402984"/>
    <n v="140230.40898929286"/>
    <n v="354142.65212473698"/>
    <n v="54999"/>
    <n v="2626.6459999999993"/>
    <m/>
    <n v="0.28365301433151502"/>
  </r>
  <r>
    <x v="0"/>
    <n v="489"/>
    <x v="1"/>
    <s v="Weekday"/>
    <n v="216834.39186915275"/>
    <n v="31305.813871892198"/>
    <n v="185528.57799726055"/>
    <n v="16106"/>
    <n v="1264.4939999999999"/>
    <m/>
    <n v="0.14437660742850922"/>
  </r>
  <r>
    <x v="0"/>
    <n v="490"/>
    <x v="0"/>
    <s v="Weekday"/>
    <n v="1071269.2566856577"/>
    <n v="325989.70559116127"/>
    <n v="745279.55109449639"/>
    <n v="127797"/>
    <n v="6388.8509999999987"/>
    <s v="Route 490 re-alignment on select trips November 2018"/>
    <n v="0.30430230640588274"/>
  </r>
  <r>
    <x v="0"/>
    <n v="491"/>
    <x v="0"/>
    <s v="Weekday"/>
    <n v="243300.11351541901"/>
    <n v="14296.858439140799"/>
    <n v="229003.2550762782"/>
    <n v="7986"/>
    <n v="1551.6489999999997"/>
    <s v="Route 492 re-alignment to serve Marschall Road in November 2018"/>
    <n v="5.8762234972137582E-2"/>
  </r>
  <r>
    <x v="0"/>
    <n v="492"/>
    <x v="0"/>
    <s v="Weekday"/>
    <n v="129491.26530883087"/>
    <n v="10520.049849383762"/>
    <n v="118971.21545944711"/>
    <n v="3805"/>
    <n v="956.43399999999997"/>
    <s v="Route 493 select trips eliminated November 2018"/>
    <n v="8.1241385851732267E-2"/>
  </r>
  <r>
    <x v="0"/>
    <n v="493"/>
    <x v="0"/>
    <s v="Weekday"/>
    <n v="1028433.0603402476"/>
    <n v="181005.26896017202"/>
    <n v="847427.79138007551"/>
    <n v="72994"/>
    <n v="5317.8940000000002"/>
    <m/>
    <n v="0.17600102130155956"/>
  </r>
  <r>
    <x v="0"/>
    <n v="495"/>
    <x v="0"/>
    <s v="Weekday"/>
    <n v="1051880.9583371307"/>
    <n v="90037.314212092009"/>
    <n v="961843.64412503876"/>
    <n v="78774"/>
    <n v="6689.3410000000003"/>
    <s v="Route 495 direct service to Mystic Lake added February 2018; one trip added August 2018"/>
    <n v="8.5596486464046065E-2"/>
  </r>
  <r>
    <x v="0"/>
    <n v="497"/>
    <x v="1"/>
    <s v="Weekday"/>
    <n v="291071.68167129235"/>
    <n v="16715.284691273562"/>
    <n v="274356.39698001876"/>
    <n v="17299"/>
    <n v="3074.3990000000003"/>
    <s v="Route 497 re-alignment and one trip added August 2018"/>
    <n v="5.7426695016487922E-2"/>
  </r>
  <r>
    <x v="0"/>
    <n v="499"/>
    <x v="1"/>
    <s v="Weekday"/>
    <n v="303920.07324174512"/>
    <n v="15030.131177130872"/>
    <n v="288889.94206461427"/>
    <n v="14635"/>
    <n v="3070.407999999999"/>
    <m/>
    <n v="4.9454223331854605E-2"/>
  </r>
  <r>
    <x v="0"/>
    <n v="420"/>
    <x v="1"/>
    <s v="Saturday"/>
    <n v="6434.6079755216415"/>
    <n v="0"/>
    <n v="6434.6079755216415"/>
    <n v="124"/>
    <n v="45.035999999999987"/>
    <m/>
    <n v="0"/>
  </r>
  <r>
    <x v="0"/>
    <n v="440"/>
    <x v="1"/>
    <s v="Saturday"/>
    <n v="121826.26334496499"/>
    <n v="4875.5245877085272"/>
    <n v="116950.73875725646"/>
    <n v="5405"/>
    <n v="970.12799999999993"/>
    <s v="Route 440 weekday and weekend trip reductions November 2018"/>
    <n v="4.0020308050513889E-2"/>
  </r>
  <r>
    <x v="0"/>
    <n v="442"/>
    <x v="1"/>
    <s v="Saturday"/>
    <n v="71671.875433777808"/>
    <n v="2501.9961127943934"/>
    <n v="69169.879320983411"/>
    <n v="2743"/>
    <n v="594.21599999999989"/>
    <s v="Route 442 weekday and weekend trip reductions November 2018"/>
    <n v="3.4909036461675209E-2"/>
  </r>
  <r>
    <x v="0"/>
    <n v="444"/>
    <x v="1"/>
    <s v="Saturday"/>
    <n v="180009.46072422079"/>
    <n v="22609.697783072643"/>
    <n v="157399.76294114813"/>
    <n v="24242"/>
    <n v="1293.0839999999998"/>
    <m/>
    <n v="0.1256028304962887"/>
  </r>
  <r>
    <x v="0"/>
    <n v="445"/>
    <x v="1"/>
    <s v="Saturday"/>
    <n v="104288.22141648406"/>
    <n v="7129.5003799250371"/>
    <n v="97158.721036559014"/>
    <n v="8093"/>
    <n v="829.548"/>
    <m/>
    <n v="6.8363428612448568E-2"/>
  </r>
  <r>
    <x v="0"/>
    <n v="465"/>
    <x v="0"/>
    <s v="Saturday"/>
    <n v="77692.432161609904"/>
    <n v="1248.6405341114744"/>
    <n v="76443.791627498431"/>
    <n v="883"/>
    <n v="254.71800000000002"/>
    <m/>
    <n v="1.60715850871311E-2"/>
  </r>
  <r>
    <x v="0"/>
    <n v="495"/>
    <x v="0"/>
    <s v="Saturday"/>
    <n v="238298.54153284617"/>
    <n v="18904.892469571667"/>
    <n v="219393.6490632745"/>
    <n v="17688"/>
    <n v="1422.8980000000001"/>
    <s v="Route 495 direct service to Mystic Lake added February 2018; one trip added August 2018"/>
    <n v="7.9332808115260278E-2"/>
  </r>
  <r>
    <x v="0"/>
    <n v="420"/>
    <x v="1"/>
    <s v="Sunday"/>
    <n v="6434.6079755216415"/>
    <n v="0"/>
    <n v="6434.6079755216415"/>
    <n v="76"/>
    <n v="45.035999999999987"/>
    <m/>
    <n v="0"/>
  </r>
  <r>
    <x v="0"/>
    <n v="440"/>
    <x v="1"/>
    <s v="Sunday"/>
    <n v="131051.4362813616"/>
    <n v="3721.1190142338091"/>
    <n v="127330.3172671278"/>
    <n v="4258"/>
    <n v="1043.8119999999999"/>
    <s v="Route 440 weekday and weekend trip reductions November 2018"/>
    <n v="2.8394339809025306E-2"/>
  </r>
  <r>
    <x v="0"/>
    <n v="442"/>
    <x v="1"/>
    <s v="Sunday"/>
    <n v="77473.102057322016"/>
    <n v="1849.6347550010557"/>
    <n v="75623.467302320962"/>
    <n v="2285"/>
    <n v="642.53199999999993"/>
    <s v="Route 442 weekday and weekend trip reductions November 2018"/>
    <n v="2.3874541045645997E-2"/>
  </r>
  <r>
    <x v="0"/>
    <n v="444"/>
    <x v="1"/>
    <s v="Sunday"/>
    <n v="193344.99848546609"/>
    <n v="18596.366448256955"/>
    <n v="174748.63203720914"/>
    <n v="19564"/>
    <n v="1388.8679999999999"/>
    <m/>
    <n v="9.6182298967794913E-2"/>
  </r>
  <r>
    <x v="0"/>
    <n v="445"/>
    <x v="1"/>
    <s v="Sunday"/>
    <n v="112011.98144893027"/>
    <n v="5885.7305823760789"/>
    <n v="106126.25086655418"/>
    <n v="6711"/>
    <n v="890.99599999999987"/>
    <m/>
    <n v="5.2545544737636535E-2"/>
  </r>
  <r>
    <x v="0"/>
    <n v="465"/>
    <x v="0"/>
    <s v="Sunday"/>
    <n v="83447.776197980158"/>
    <n v="1028.260308030156"/>
    <n v="82419.515889950009"/>
    <n v="676"/>
    <n v="273.58600000000001"/>
    <m/>
    <n v="1.232220143998331E-2"/>
  </r>
  <r>
    <x v="0"/>
    <n v="495"/>
    <x v="0"/>
    <s v="Sunday"/>
    <n v="255925.50774113712"/>
    <n v="15518.413233593816"/>
    <n v="240407.09450754331"/>
    <n v="16014"/>
    <n v="1527.3590000000004"/>
    <s v="Route 495 direct service to Mystic Lake added February 2018; one trip added August 2018"/>
    <n v="6.0636446013385824E-2"/>
  </r>
  <r>
    <x v="0"/>
    <s v="State Fair "/>
    <x v="2"/>
    <s v="Special"/>
    <n v="197774.34815439294"/>
    <n v="204123"/>
    <n v="-6348.6518456070626"/>
    <n v="86082"/>
    <s v="--"/>
    <m/>
    <n v="1.0321004817098474"/>
  </r>
  <r>
    <x v="0"/>
    <s v="Event"/>
    <x v="2"/>
    <s v="Special"/>
    <s v="--"/>
    <s v="--"/>
    <m/>
    <n v="1532"/>
    <s v="--"/>
    <m/>
    <e v="#VALUE!"/>
  </r>
  <r>
    <x v="1"/>
    <n v="740"/>
    <x v="1"/>
    <s v="Weekday"/>
    <n v="108368.80419761772"/>
    <n v="0"/>
    <n v="108368.80419761772"/>
    <n v="8052"/>
    <n v="874.92999999999961"/>
    <m/>
    <n v="0"/>
  </r>
  <r>
    <x v="1"/>
    <n v="741"/>
    <x v="1"/>
    <s v="Weekday"/>
    <n v="130668.15266576959"/>
    <n v="0"/>
    <n v="130668.15266576959"/>
    <n v="8681"/>
    <n v="1083.0600000000002"/>
    <m/>
    <n v="0"/>
  </r>
  <r>
    <x v="1"/>
    <n v="771"/>
    <x v="1"/>
    <s v="Weekday"/>
    <n v="157491.96879277425"/>
    <n v="0"/>
    <n v="157491.96879277425"/>
    <n v="8115"/>
    <n v="1141.19"/>
    <m/>
    <n v="0"/>
  </r>
  <r>
    <x v="1"/>
    <n v="791"/>
    <x v="1"/>
    <s v="Weekday"/>
    <n v="94882.812070833024"/>
    <n v="0"/>
    <n v="94882.812070833024"/>
    <n v="3944"/>
    <n v="752.7199999999998"/>
    <m/>
    <n v="0"/>
  </r>
  <r>
    <x v="1"/>
    <n v="742"/>
    <x v="0"/>
    <s v="Weekday"/>
    <n v="315804.85951476434"/>
    <n v="60828.149344447069"/>
    <n v="254976.71017031727"/>
    <n v="25861"/>
    <n v="2082.37"/>
    <m/>
    <n v="0.19261308846833392"/>
  </r>
  <r>
    <x v="1"/>
    <n v="747"/>
    <x v="0"/>
    <s v="Weekday"/>
    <n v="458481.7363876896"/>
    <n v="142791.27285302681"/>
    <n v="315690.46353466279"/>
    <n v="60736"/>
    <n v="2762.369999999999"/>
    <m/>
    <n v="0.31144375341547587"/>
  </r>
  <r>
    <x v="1"/>
    <n v="772"/>
    <x v="0"/>
    <s v="Weekday"/>
    <n v="287526.72877666721"/>
    <n v="147013.90173900963"/>
    <n v="140512.82703765758"/>
    <n v="62493"/>
    <n v="2118.7000000000007"/>
    <m/>
    <n v="0.51130516583451568"/>
  </r>
  <r>
    <x v="1"/>
    <n v="774"/>
    <x v="0"/>
    <s v="Weekday"/>
    <n v="534351.01982550602"/>
    <n v="203747.98648970004"/>
    <n v="330603.03333580599"/>
    <n v="86513"/>
    <n v="4013.559999999999"/>
    <m/>
    <n v="0.38129989263655673"/>
  </r>
  <r>
    <x v="1"/>
    <n v="776"/>
    <x v="0"/>
    <s v="Weekday"/>
    <n v="518749.58892294299"/>
    <n v="194707.63310907615"/>
    <n v="324041.95581386681"/>
    <n v="82710"/>
    <n v="3636.7599999999998"/>
    <m/>
    <n v="0.37534031306576854"/>
  </r>
  <r>
    <x v="1"/>
    <n v="777"/>
    <x v="0"/>
    <s v="Weekday"/>
    <n v="362597.27434452646"/>
    <n v="124400.12577345855"/>
    <n v="238197.1485710679"/>
    <n v="52891"/>
    <n v="2569.8900000000012"/>
    <m/>
    <n v="0.34308069744412412"/>
  </r>
  <r>
    <x v="1"/>
    <n v="790"/>
    <x v="0"/>
    <s v="Weekday"/>
    <n v="491251.44000074774"/>
    <n v="169595.86763039883"/>
    <n v="321655.57237034891"/>
    <n v="72086"/>
    <n v="3754.4500000000016"/>
    <m/>
    <n v="0.3452323063524062"/>
  </r>
  <r>
    <x v="1"/>
    <n v="793"/>
    <x v="0"/>
    <s v="Weekday"/>
    <n v="134093.28596229784"/>
    <n v="32771.323929729973"/>
    <n v="101321.96203256787"/>
    <n v="13936"/>
    <n v="1013.1200000000001"/>
    <m/>
    <n v="0.24439198200381246"/>
  </r>
  <r>
    <x v="1"/>
    <n v="795"/>
    <x v="0"/>
    <s v="Weekday"/>
    <n v="69633.772482974513"/>
    <n v="13672.699131152982"/>
    <n v="55961.073351821527"/>
    <n v="5805"/>
    <n v="561.70000000000005"/>
    <m/>
    <n v="0.19635154959464479"/>
  </r>
  <r>
    <x v="1"/>
    <s v="Plymouth Dial a Ride"/>
    <x v="3"/>
    <s v="Weekday"/>
    <n v="1147968.2066275401"/>
    <n v="65180.160000000003"/>
    <n v="1082788.0466275401"/>
    <n v="27514"/>
    <n v="9422"/>
    <m/>
    <n v="5.6778715319550484E-2"/>
  </r>
  <r>
    <x v="2"/>
    <n v="780"/>
    <x v="0"/>
    <s v="Weekday"/>
    <n v="298369.42088851391"/>
    <n v="62991.837916858407"/>
    <n v="235377.5829716555"/>
    <n v="22535"/>
    <n v="1547.241"/>
    <m/>
    <n v="0.21112028749218031"/>
  </r>
  <r>
    <x v="2"/>
    <n v="781"/>
    <x v="0"/>
    <s v="Weekday"/>
    <n v="1762121.7892634284"/>
    <n v="1145009.080955911"/>
    <n v="617112.70830751746"/>
    <n v="409621"/>
    <n v="8267.6149999999998"/>
    <m/>
    <n v="0.64978997929225302"/>
  </r>
  <r>
    <x v="2"/>
    <n v="782"/>
    <x v="0"/>
    <s v="Weekday"/>
    <n v="462494.49670881452"/>
    <n v="108546.66296815823"/>
    <n v="353947.83374065626"/>
    <n v="38832"/>
    <n v="2386.5700000000002"/>
    <m/>
    <n v="0.23469828017542652"/>
  </r>
  <r>
    <x v="2"/>
    <n v="783"/>
    <x v="0"/>
    <s v="Weekday"/>
    <n v="461288.09653233673"/>
    <n v="181224.17731643064"/>
    <n v="280063.91921590606"/>
    <n v="64832"/>
    <n v="2298.0209999999997"/>
    <m/>
    <n v="0.3928654970261663"/>
  </r>
  <r>
    <x v="2"/>
    <n v="785"/>
    <x v="0"/>
    <s v="Weekday"/>
    <n v="871112.88833368407"/>
    <n v="660764.3934313989"/>
    <n v="210348.49490228517"/>
    <n v="236385"/>
    <n v="3980.2529999999997"/>
    <m/>
    <n v="0.75852900614907426"/>
  </r>
  <r>
    <x v="2"/>
    <n v="789"/>
    <x v="0"/>
    <s v="Weekday"/>
    <n v="99602.980281398035"/>
    <n v="52638.087411242988"/>
    <n v="46964.892870155047"/>
    <n v="18831"/>
    <n v="480.95600000000002"/>
    <m/>
    <n v="0.5284790401103463"/>
  </r>
  <r>
    <x v="2"/>
    <n v="787"/>
    <x v="1"/>
    <s v="Weekday"/>
    <n v="55620.166440344947"/>
    <n v="0"/>
    <n v="55620.166440344947"/>
    <n v="3093"/>
    <n v="224"/>
    <m/>
    <n v="0"/>
  </r>
  <r>
    <x v="2"/>
    <n v="788"/>
    <x v="1"/>
    <s v="Weekday"/>
    <n v="75462.575965179363"/>
    <n v="0"/>
    <n v="75462.575965179363"/>
    <n v="5971"/>
    <n v="494"/>
    <m/>
    <n v="0"/>
  </r>
  <r>
    <x v="2"/>
    <s v="MG DAR / MY RIDE"/>
    <x v="4"/>
    <s v="All Days"/>
    <n v="788759.54999999993"/>
    <n v="52769.59"/>
    <n v="735989.96"/>
    <n v="36568"/>
    <n v="10913"/>
    <m/>
    <n v="6.690199820718494E-2"/>
  </r>
  <r>
    <x v="3"/>
    <n v="690"/>
    <x v="0"/>
    <s v="Weekday"/>
    <n v="2913803"/>
    <n v="1000421"/>
    <n v="1913382"/>
    <n v="350141"/>
    <n v="11904"/>
    <m/>
    <n v="0.3433385853470533"/>
  </r>
  <r>
    <x v="3"/>
    <n v="691"/>
    <x v="0"/>
    <s v="Weekday"/>
    <n v="77858"/>
    <n v="18213"/>
    <n v="59645"/>
    <n v="8151"/>
    <n v="271.77999999999997"/>
    <s v="One Trip Daily"/>
    <n v="0.23392586503634821"/>
  </r>
  <r>
    <x v="3"/>
    <n v="692"/>
    <x v="0"/>
    <s v="Weekday"/>
    <n v="350399"/>
    <n v="104131"/>
    <n v="246268"/>
    <n v="35563"/>
    <n v="1212.5"/>
    <m/>
    <n v="0.29717835952728178"/>
  </r>
  <r>
    <x v="3"/>
    <n v="695"/>
    <x v="0"/>
    <s v="Weekday"/>
    <n v="1079551"/>
    <n v="235597"/>
    <n v="843954"/>
    <n v="82670"/>
    <n v="3639.38"/>
    <s v="Serves Downtown East and the U of M"/>
    <n v="0.21823610000824417"/>
  </r>
  <r>
    <x v="3"/>
    <n v="697"/>
    <x v="0"/>
    <s v="Weekday"/>
    <n v="490510"/>
    <n v="148193"/>
    <n v="342317"/>
    <n v="51086"/>
    <n v="1684.27"/>
    <m/>
    <n v="0.30212024219689709"/>
  </r>
  <r>
    <x v="3"/>
    <n v="698"/>
    <x v="0"/>
    <s v="Weekday"/>
    <n v="2480765"/>
    <n v="455042"/>
    <n v="2025723"/>
    <n v="186109"/>
    <n v="10242.83"/>
    <m/>
    <n v="0.1834280957688455"/>
  </r>
  <r>
    <x v="3"/>
    <n v="699"/>
    <x v="0"/>
    <s v="Weekday"/>
    <n v="1386785"/>
    <n v="412183"/>
    <n v="974602"/>
    <n v="142741"/>
    <n v="4873.3"/>
    <m/>
    <n v="0.29722199187328968"/>
  </r>
  <r>
    <x v="3"/>
    <s v="SW Flex"/>
    <x v="1"/>
    <s v="Weekday"/>
    <n v="839951"/>
    <n v="99146"/>
    <n v="740805"/>
    <n v="40219"/>
    <n v="3938.74"/>
    <s v="Reverse commute route with limited revenue due to the majority of passengers transferring from other transit providers."/>
    <n v="0.1180378379214978"/>
  </r>
  <r>
    <x v="3"/>
    <n v="682"/>
    <x v="2"/>
    <s v="Special"/>
    <n v="133337"/>
    <n v="21075"/>
    <n v="112262"/>
    <n v="16359"/>
    <n v="414.86000000000013"/>
    <s v="Twins, Vikings, Gophers, _x000a_Summer Adventures, &amp; Misc."/>
    <n v="0.15805815340078147"/>
  </r>
  <r>
    <x v="3"/>
    <s v="682 (State Fair)"/>
    <x v="2"/>
    <s v="Special"/>
    <n v="715931"/>
    <n v="329783"/>
    <n v="386148"/>
    <n v="108855"/>
    <n v="2364"/>
    <s v="State Fair"/>
    <n v="0.46063517294264389"/>
  </r>
  <r>
    <x v="3"/>
    <s v="SW Prime "/>
    <x v="3"/>
    <s v="Weekday"/>
    <n v="991034"/>
    <n v="220638"/>
    <n v="770396"/>
    <n v="96297"/>
    <n v="27155.09"/>
    <m/>
    <n v="0.22263413767842474"/>
  </r>
  <r>
    <x v="3"/>
    <s v="SW Prime "/>
    <x v="3"/>
    <s v="Saturday"/>
    <n v="90103"/>
    <n v="20140"/>
    <n v="69963"/>
    <n v="6214"/>
    <n v="2353.9499999999998"/>
    <m/>
    <n v="0.22352196930179904"/>
  </r>
  <r>
    <x v="4"/>
    <n v="16"/>
    <x v="5"/>
    <s v="Saturday"/>
    <n v="17374.968545454547"/>
    <n v="1061.6920000000027"/>
    <n v="16313.276545454544"/>
    <n v="1830"/>
    <n v="155.1"/>
    <m/>
    <n v="6.1104686159431994E-2"/>
  </r>
  <r>
    <x v="4"/>
    <n v="30"/>
    <x v="5"/>
    <s v="Saturday"/>
    <n v="123274.51127390889"/>
    <n v="16127.966000000039"/>
    <n v="107146.54527390885"/>
    <n v="18477"/>
    <n v="1647"/>
    <m/>
    <n v="0.13082968923044133"/>
  </r>
  <r>
    <x v="4"/>
    <n v="80"/>
    <x v="5"/>
    <s v="Saturday"/>
    <n v="63413.431966057688"/>
    <n v="13620.547000000013"/>
    <n v="49792.884966057674"/>
    <n v="16439"/>
    <n v="732.78000000000009"/>
    <m/>
    <n v="0.21478962071143648"/>
  </r>
  <r>
    <x v="4"/>
    <n v="83"/>
    <x v="5"/>
    <s v="Saturday"/>
    <n v="123046.66568990084"/>
    <n v="14980.092000000037"/>
    <n v="108066.5736899008"/>
    <n v="15359"/>
    <n v="1904.5799999999997"/>
    <m/>
    <n v="0.12174317699719303"/>
  </r>
  <r>
    <x v="4"/>
    <n v="84"/>
    <x v="5"/>
    <s v="Saturday"/>
    <n v="15961.278190082645"/>
    <n v="1449.975000000004"/>
    <n v="14511.303190082641"/>
    <n v="1805"/>
    <n v="143.15"/>
    <m/>
    <n v="9.0843288534431355E-2"/>
  </r>
  <r>
    <x v="4"/>
    <n v="87"/>
    <x v="5"/>
    <s v="Saturday"/>
    <n v="182530.55473042087"/>
    <n v="21102.920000000049"/>
    <n v="161427.63473042083"/>
    <n v="22016"/>
    <n v="2144.8799999999997"/>
    <m/>
    <n v="0.11561308204627396"/>
  </r>
  <r>
    <x v="4"/>
    <n v="219"/>
    <x v="1"/>
    <s v="Saturday"/>
    <n v="103077.01138415447"/>
    <n v="12533.863000000008"/>
    <n v="90543.148384154454"/>
    <n v="9987"/>
    <n v="1342.2"/>
    <m/>
    <n v="0.12159707418454295"/>
  </r>
  <r>
    <x v="4"/>
    <n v="225"/>
    <x v="1"/>
    <s v="Saturday"/>
    <n v="30438.634042180689"/>
    <n v="2045.5489999999995"/>
    <n v="28393.08504218069"/>
    <n v="2021"/>
    <n v="334.79999999999995"/>
    <m/>
    <n v="6.7202391446520113E-2"/>
  </r>
  <r>
    <x v="4"/>
    <n v="227"/>
    <x v="1"/>
    <s v="Saturday"/>
    <n v="30438.634042180689"/>
    <n v="2428.6679999999997"/>
    <n v="28009.966042180691"/>
    <n v="2010"/>
    <n v="334.79999999999995"/>
    <m/>
    <n v="7.9788994362705132E-2"/>
  </r>
  <r>
    <x v="4"/>
    <n v="538"/>
    <x v="1"/>
    <s v="Saturday"/>
    <n v="91509.08536907594"/>
    <n v="13599.378000000021"/>
    <n v="77909.707369075913"/>
    <n v="14417"/>
    <n v="1179.9000000000001"/>
    <m/>
    <n v="0.14861232570679497"/>
  </r>
  <r>
    <x v="4"/>
    <n v="539"/>
    <x v="1"/>
    <s v="Saturday"/>
    <n v="111376.67249372513"/>
    <n v="23172.187000000042"/>
    <n v="88204.485493725078"/>
    <n v="21706"/>
    <n v="1432.0800000000002"/>
    <m/>
    <n v="0.20805242678897184"/>
  </r>
  <r>
    <x v="4"/>
    <n v="540"/>
    <x v="1"/>
    <s v="Saturday"/>
    <n v="46948.061480012744"/>
    <n v="17943.163000000022"/>
    <n v="29004.898480012722"/>
    <n v="13421"/>
    <n v="599.4"/>
    <m/>
    <n v="0.38219177606809146"/>
  </r>
  <r>
    <x v="4"/>
    <n v="615"/>
    <x v="1"/>
    <s v="Saturday"/>
    <n v="67007.618852735948"/>
    <n v="7795.7759999999989"/>
    <n v="59211.84285273595"/>
    <n v="6228"/>
    <n v="1090.8"/>
    <m/>
    <n v="0.11634163597326058"/>
  </r>
  <r>
    <x v="4"/>
    <n v="716"/>
    <x v="1"/>
    <s v="Saturday"/>
    <n v="39572.422334190233"/>
    <n v="7729.5929999999971"/>
    <n v="31842.829334190235"/>
    <n v="7106"/>
    <n v="604.79999999999995"/>
    <m/>
    <n v="0.19532776979694"/>
  </r>
  <r>
    <x v="4"/>
    <n v="805"/>
    <x v="1"/>
    <s v="Saturday"/>
    <n v="89617.723989771344"/>
    <n v="11304.582000000006"/>
    <n v="78313.141989771335"/>
    <n v="8323"/>
    <n v="997.21800000000007"/>
    <m/>
    <n v="0.1261422573205527"/>
  </r>
  <r>
    <x v="4"/>
    <n v="16"/>
    <x v="5"/>
    <s v="Sunday / Holiday"/>
    <n v="19636.319249586777"/>
    <n v="720.78700000000129"/>
    <n v="18915.532249586777"/>
    <n v="1163"/>
    <n v="171.17999999999998"/>
    <m/>
    <n v="3.6706828343869458E-2"/>
  </r>
  <r>
    <x v="4"/>
    <n v="30"/>
    <x v="5"/>
    <s v="Sunday / Holiday"/>
    <n v="132405.58618308735"/>
    <n v="14739.707000000035"/>
    <n v="117665.87918308731"/>
    <n v="16224"/>
    <n v="1769"/>
    <m/>
    <n v="0.1113223952622234"/>
  </r>
  <r>
    <x v="4"/>
    <n v="80"/>
    <x v="5"/>
    <s v="Sunday / Holiday"/>
    <n v="36816.230827874351"/>
    <n v="9295.1319999999996"/>
    <n v="27521.098827874353"/>
    <n v="10070"/>
    <n v="425.14000000000004"/>
    <m/>
    <n v="0.25247375385756377"/>
  </r>
  <r>
    <x v="4"/>
    <n v="83"/>
    <x v="5"/>
    <s v="Sunday / Holiday"/>
    <n v="132161.34462989349"/>
    <n v="13853.04800000003"/>
    <n v="118308.29662989346"/>
    <n v="14140"/>
    <n v="2045.6599999999999"/>
    <m/>
    <n v="0.10481921199269198"/>
  </r>
  <r>
    <x v="4"/>
    <n v="84"/>
    <x v="5"/>
    <s v="Sunday / Holiday"/>
    <n v="14182.833150413224"/>
    <n v="907.88100000000168"/>
    <n v="13274.952150413223"/>
    <n v="1110"/>
    <n v="126.47999999999999"/>
    <m/>
    <n v="6.4012668722225649E-2"/>
  </r>
  <r>
    <x v="4"/>
    <n v="87"/>
    <x v="5"/>
    <s v="Sunday / Holiday"/>
    <n v="196672.96610930478"/>
    <n v="16740.027000000056"/>
    <n v="179932.93910930472"/>
    <n v="16903"/>
    <n v="2324.6400000000003"/>
    <m/>
    <n v="8.5116054998105151E-2"/>
  </r>
  <r>
    <x v="4"/>
    <n v="538"/>
    <x v="1"/>
    <s v="Sunday / Holiday"/>
    <n v="78730.835484905678"/>
    <n v="11165.421000000011"/>
    <n v="67565.414484905661"/>
    <n v="11652"/>
    <n v="1016.1600000000001"/>
    <m/>
    <n v="0.14181763639661429"/>
  </r>
  <r>
    <x v="4"/>
    <n v="539"/>
    <x v="1"/>
    <s v="Sunday / Holiday"/>
    <n v="89429.672421625975"/>
    <n v="15899.647000000028"/>
    <n v="73530.025421625949"/>
    <n v="13850"/>
    <n v="1145.5"/>
    <m/>
    <n v="0.17778939103164107"/>
  </r>
  <r>
    <x v="4"/>
    <n v="540"/>
    <x v="1"/>
    <s v="Sunday / Holiday"/>
    <n v="48594.628030243184"/>
    <n v="15942.680000000015"/>
    <n v="32651.948030243169"/>
    <n v="11032"/>
    <n v="609"/>
    <m/>
    <n v="0.32807494668089615"/>
  </r>
  <r>
    <x v="4"/>
    <n v="16"/>
    <x v="5"/>
    <s v="Weekday"/>
    <n v="68162.511626446285"/>
    <n v="5546.8319999999758"/>
    <n v="62615.679626446312"/>
    <n v="8246"/>
    <n v="653.22"/>
    <m/>
    <n v="8.1376578820899367E-2"/>
  </r>
  <r>
    <x v="4"/>
    <n v="27"/>
    <x v="5"/>
    <s v="Weekday"/>
    <n v="198839.54029937569"/>
    <n v="16034.195000000062"/>
    <n v="182805.34529937562"/>
    <n v="20552"/>
    <n v="2788.06"/>
    <m/>
    <n v="8.0638865770151877E-2"/>
  </r>
  <r>
    <x v="4"/>
    <n v="30"/>
    <x v="5"/>
    <s v="Weekday"/>
    <n v="740903.76198727987"/>
    <n v="157690.41700000194"/>
    <n v="583213.34498727787"/>
    <n v="154565"/>
    <n v="9689.9"/>
    <m/>
    <n v="0.21283522245458544"/>
  </r>
  <r>
    <x v="4"/>
    <n v="80"/>
    <x v="5"/>
    <s v="Weekday"/>
    <n v="302711.37223541766"/>
    <n v="96714.173999999417"/>
    <n v="205997.19823541824"/>
    <n v="98052"/>
    <n v="3526.0610000000001"/>
    <m/>
    <n v="0.31949303154948905"/>
  </r>
  <r>
    <x v="4"/>
    <n v="83"/>
    <x v="5"/>
    <s v="Weekday"/>
    <n v="600486.51163716486"/>
    <n v="114548.83800000108"/>
    <n v="485937.67363716377"/>
    <n v="106379"/>
    <n v="9500.15"/>
    <m/>
    <n v="0.19076005169157825"/>
  </r>
  <r>
    <x v="4"/>
    <n v="84"/>
    <x v="5"/>
    <s v="Weekday"/>
    <n v="72173.734867768595"/>
    <n v="8747.3270000000048"/>
    <n v="63426.40786776859"/>
    <n v="10032"/>
    <n v="680.51666666666665"/>
    <m/>
    <n v="0.12119820341882284"/>
  </r>
  <r>
    <x v="4"/>
    <n v="87"/>
    <x v="5"/>
    <s v="Weekday"/>
    <n v="1091659.8018111223"/>
    <n v="259128.70100000841"/>
    <n v="832531.10081111395"/>
    <n v="227554"/>
    <n v="12940.95"/>
    <m/>
    <n v="0.23737129513251284"/>
  </r>
  <r>
    <x v="4"/>
    <n v="118"/>
    <x v="0"/>
    <s v="Weekday"/>
    <n v="4516.1925537190082"/>
    <n v="2375.514999999999"/>
    <n v="2140.6775537190092"/>
    <n v="1244"/>
    <n v="40.85"/>
    <m/>
    <n v="0.52599949442895266"/>
  </r>
  <r>
    <x v="4"/>
    <n v="219"/>
    <x v="1"/>
    <s v="Weekday"/>
    <n v="1033220.6548756333"/>
    <n v="161076.90900000086"/>
    <n v="872143.74587563239"/>
    <n v="129786"/>
    <n v="13284.612000000001"/>
    <m/>
    <n v="0.15589787935413404"/>
  </r>
  <r>
    <x v="4"/>
    <n v="223"/>
    <x v="1"/>
    <s v="Weekday"/>
    <n v="227321.21453261154"/>
    <n v="38680.283999999985"/>
    <n v="188640.93053261156"/>
    <n v="30802"/>
    <n v="2686.6880000000001"/>
    <m/>
    <n v="0.17015694764577682"/>
  </r>
  <r>
    <x v="4"/>
    <n v="225"/>
    <x v="1"/>
    <s v="Weekday"/>
    <n v="203367.96282948804"/>
    <n v="25387.433999999983"/>
    <n v="177980.52882948806"/>
    <n v="23653"/>
    <n v="2302.3000000000002"/>
    <m/>
    <n v="0.1248349722679075"/>
  </r>
  <r>
    <x v="4"/>
    <n v="227"/>
    <x v="1"/>
    <s v="Weekday"/>
    <n v="219514.78577991069"/>
    <n v="28870.000000000004"/>
    <n v="190644.78577991069"/>
    <n v="23225"/>
    <n v="2378.1999999999998"/>
    <m/>
    <n v="0.13151733673623955"/>
  </r>
  <r>
    <x v="4"/>
    <n v="350"/>
    <x v="0"/>
    <s v="Weekday"/>
    <n v="316688.66271395248"/>
    <n v="40428.324999999924"/>
    <n v="276260.33771395253"/>
    <n v="30184"/>
    <n v="1441.8139999999999"/>
    <m/>
    <n v="0.12765952735263092"/>
  </r>
  <r>
    <x v="4"/>
    <n v="364"/>
    <x v="0"/>
    <s v="Weekday"/>
    <n v="93536.283924821211"/>
    <n v="26357.37"/>
    <n v="67178.913924821216"/>
    <n v="11962"/>
    <n v="1175.6599999999999"/>
    <m/>
    <n v="0.28178765388182891"/>
  </r>
  <r>
    <x v="4"/>
    <n v="417"/>
    <x v="0"/>
    <s v="Weekday"/>
    <n v="53156.818589019342"/>
    <n v="6116.5890000000036"/>
    <n v="47040.229589019335"/>
    <n v="2898"/>
    <n v="607"/>
    <m/>
    <n v="0.11506687500036945"/>
  </r>
  <r>
    <x v="4"/>
    <n v="537"/>
    <x v="1"/>
    <s v="Weekday"/>
    <n v="171934.44419894775"/>
    <n v="19824.342000000011"/>
    <n v="152110.10219894774"/>
    <n v="17578"/>
    <n v="1505.35"/>
    <m/>
    <n v="0.11530174824691315"/>
  </r>
  <r>
    <x v="4"/>
    <n v="538"/>
    <x v="1"/>
    <s v="Weekday"/>
    <n v="610334.30204585427"/>
    <n v="111615.1299999995"/>
    <n v="498719.17204585479"/>
    <n v="106301"/>
    <n v="7493.8600000000006"/>
    <m/>
    <n v="0.18287540062202481"/>
  </r>
  <r>
    <x v="4"/>
    <n v="539"/>
    <x v="1"/>
    <s v="Weekday"/>
    <n v="1056183.6303056676"/>
    <n v="256351.14900000527"/>
    <n v="799832.48130566231"/>
    <n v="228448"/>
    <n v="12954.358999999999"/>
    <m/>
    <n v="0.24271456368417232"/>
  </r>
  <r>
    <x v="4"/>
    <n v="540"/>
    <x v="1"/>
    <s v="Weekday"/>
    <n v="832295.30959712307"/>
    <n v="204592.85300000312"/>
    <n v="627702.45659711992"/>
    <n v="166029"/>
    <n v="10946.2"/>
    <m/>
    <n v="0.24581762103049382"/>
  </r>
  <r>
    <x v="4"/>
    <n v="542"/>
    <x v="1"/>
    <s v="Weekday"/>
    <n v="310559.986550709"/>
    <n v="59166.355999999731"/>
    <n v="251393.63055070926"/>
    <n v="46687"/>
    <n v="4000.3"/>
    <m/>
    <n v="0.19051506492237338"/>
  </r>
  <r>
    <x v="4"/>
    <n v="604"/>
    <x v="1"/>
    <s v="Weekday"/>
    <n v="141097.06270877708"/>
    <n v="10150.398000000012"/>
    <n v="130946.66470877707"/>
    <n v="11407"/>
    <n v="1733.05"/>
    <m/>
    <n v="7.193911627310294E-2"/>
  </r>
  <r>
    <x v="4"/>
    <n v="614"/>
    <x v="1"/>
    <s v="Weekday"/>
    <n v="179917.4610620639"/>
    <n v="11812.487000000005"/>
    <n v="168104.97406206391"/>
    <n v="8139"/>
    <n v="2454.1"/>
    <m/>
    <n v="6.5655033870921489E-2"/>
  </r>
  <r>
    <x v="4"/>
    <n v="615"/>
    <x v="1"/>
    <s v="Weekday"/>
    <n v="332914.3209107602"/>
    <n v="53074.019999999786"/>
    <n v="279840.30091076042"/>
    <n v="40624"/>
    <n v="5439.5"/>
    <m/>
    <n v="0.15942245997349755"/>
  </r>
  <r>
    <x v="4"/>
    <n v="670"/>
    <x v="0"/>
    <s v="Weekday"/>
    <n v="305742.66606030514"/>
    <n v="94825.319000000018"/>
    <n v="210917.34706030512"/>
    <n v="35150"/>
    <n v="1796.3"/>
    <m/>
    <n v="0.31014748520998547"/>
  </r>
  <r>
    <x v="4"/>
    <n v="671"/>
    <x v="0"/>
    <s v="Weekday"/>
    <n v="303589.37263734522"/>
    <n v="57612.778000000006"/>
    <n v="245976.59463734523"/>
    <n v="21345"/>
    <n v="1783.65"/>
    <m/>
    <n v="0.18977205130570149"/>
  </r>
  <r>
    <x v="4"/>
    <n v="705"/>
    <x v="1"/>
    <s v="Weekday"/>
    <n v="468700.45348603308"/>
    <n v="74868.914999999572"/>
    <n v="393831.5384860335"/>
    <n v="67419"/>
    <n v="5667.2"/>
    <m/>
    <n v="0.15973723610282492"/>
  </r>
  <r>
    <x v="4"/>
    <n v="716"/>
    <x v="1"/>
    <s v="Weekday"/>
    <n v="203313.99306647081"/>
    <n v="43236.195999999836"/>
    <n v="160077.79706647096"/>
    <n v="34751"/>
    <n v="3036"/>
    <m/>
    <n v="0.21265725662996712"/>
  </r>
  <r>
    <x v="4"/>
    <n v="717"/>
    <x v="1"/>
    <s v="Weekday"/>
    <n v="217903.05880866692"/>
    <n v="59300.00099999964"/>
    <n v="158603.05780866728"/>
    <n v="59814"/>
    <n v="3440.8"/>
    <m/>
    <n v="0.27213936933335525"/>
  </r>
  <r>
    <x v="4"/>
    <n v="762"/>
    <x v="0"/>
    <s v="Weekday"/>
    <n v="5129.1618165289256"/>
    <n v="2239.9619999999977"/>
    <n v="2889.1998165289278"/>
    <n v="1382"/>
    <n v="46.17"/>
    <m/>
    <n v="0.43671111969632781"/>
  </r>
  <r>
    <x v="4"/>
    <n v="801"/>
    <x v="1"/>
    <s v="Weekday"/>
    <n v="432159.23539605504"/>
    <n v="78426.598999999464"/>
    <n v="353732.63639605558"/>
    <n v="71127"/>
    <n v="4440.1499999999996"/>
    <m/>
    <n v="0.18147616104541864"/>
  </r>
  <r>
    <x v="4"/>
    <n v="805"/>
    <x v="1"/>
    <s v="Weekday"/>
    <n v="550607.08847054362"/>
    <n v="94726.23799999959"/>
    <n v="455880.85047054401"/>
    <n v="67708"/>
    <n v="6013.0510000000004"/>
    <m/>
    <n v="0.17203962677474186"/>
  </r>
  <r>
    <x v="4"/>
    <n v="831"/>
    <x v="1"/>
    <s v="Weekday"/>
    <n v="254966.95214362995"/>
    <n v="23037.654000000031"/>
    <n v="231929.29814362992"/>
    <n v="22388"/>
    <n v="2635.5009999999997"/>
    <m/>
    <n v="9.0355451192052072E-2"/>
  </r>
  <r>
    <x v="4"/>
    <s v="Metro Mobility"/>
    <x v="4"/>
    <s v="All Days"/>
    <n v="76298154"/>
    <n v="7168431"/>
    <n v="69129723"/>
    <n v="1977507"/>
    <n v="1158967"/>
    <m/>
    <n v="9.3952875976527558E-2"/>
  </r>
  <r>
    <x v="4"/>
    <s v="Metro Vanpool"/>
    <x v="6"/>
    <s v="All Days"/>
    <n v="833156"/>
    <n v="563125"/>
    <n v="270031"/>
    <n v="117252"/>
    <n v="31763"/>
    <m/>
    <n v="0.67589383020706806"/>
  </r>
  <r>
    <x v="4"/>
    <s v="Transit Link"/>
    <x v="3"/>
    <s v="All Days"/>
    <n v="7007241"/>
    <n v="957534"/>
    <n v="6049707"/>
    <n v="243857"/>
    <n v="109827"/>
    <m/>
    <n v="0.136649217573649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n v="416"/>
    <x v="0"/>
    <s v="Weekday"/>
    <n v="250764.65768326345"/>
    <n v="5351.9923228285734"/>
    <n v="245412.66536043488"/>
    <n v="6818"/>
    <n v="1665.0000000000007"/>
    <s v="35W@94 Construction Service new Route 416 between Eagan &amp; 46th Street LRT from July to December 2018"/>
    <n v="2.1342689884108722E-2"/>
  </r>
  <r>
    <x v="0"/>
    <n v="460"/>
    <x v="0"/>
    <s v="Weekday"/>
    <n v="2245372.829993635"/>
    <n v="1034817.5589223363"/>
    <n v="1210555.2710712985"/>
    <n v="395097"/>
    <n v="9565.0190000000039"/>
    <s v="35W@94 Construction service Route 460 extension to Heart of the City from July 2018 through February 2019"/>
    <n v="0.46086669665690655"/>
  </r>
  <r>
    <x v="0"/>
    <n v="464"/>
    <x v="0"/>
    <s v="Weekday"/>
    <n v="919709.48971065914"/>
    <n v="141772.63268813721"/>
    <n v="777936.8570225219"/>
    <n v="54608"/>
    <n v="4819.6499999999996"/>
    <m/>
    <n v="0.15414936376565921"/>
  </r>
  <r>
    <x v="0"/>
    <n v="465"/>
    <x v="0"/>
    <s v="Weekday"/>
    <n v="2145379.2843280286"/>
    <n v="495713.35156860796"/>
    <n v="1649665.9327594205"/>
    <n v="231204"/>
    <n v="11820.544999999996"/>
    <m/>
    <n v="0.23106093882316681"/>
  </r>
  <r>
    <x v="0"/>
    <n v="470"/>
    <x v="0"/>
    <s v="Weekday"/>
    <n v="679748.68632844498"/>
    <n v="267353.93378234422"/>
    <n v="412394.75254610076"/>
    <n v="103128"/>
    <n v="3449.1490000000003"/>
    <m/>
    <n v="0.39331290984380451"/>
  </r>
  <r>
    <x v="0"/>
    <n v="472"/>
    <x v="0"/>
    <s v="Weekday"/>
    <n v="697527.94462215272"/>
    <n v="222100.24874315257"/>
    <n v="475427.69587900012"/>
    <n v="70428"/>
    <n v="3748.1949999999997"/>
    <m/>
    <n v="0.31841053889742454"/>
  </r>
  <r>
    <x v="0"/>
    <n v="475"/>
    <x v="0"/>
    <s v="Weekday"/>
    <n v="759219.08783698268"/>
    <n v="139956.40945427879"/>
    <n v="619262.67838270392"/>
    <n v="57878"/>
    <n v="4233.4490000000005"/>
    <m/>
    <n v="0.18434258529117728"/>
  </r>
  <r>
    <x v="0"/>
    <n v="476"/>
    <x v="0"/>
    <s v="Weekday"/>
    <n v="892679.23542067828"/>
    <n v="255373.17631088529"/>
    <n v="637306.05910979304"/>
    <n v="92676"/>
    <n v="5009.146999999999"/>
    <m/>
    <n v="0.28607495971443736"/>
  </r>
  <r>
    <x v="0"/>
    <n v="477"/>
    <x v="0"/>
    <s v="Weekday"/>
    <n v="1787334.0777111806"/>
    <n v="902981.20012595097"/>
    <n v="884352.87758522958"/>
    <n v="349669"/>
    <n v="8924.3990000000013"/>
    <m/>
    <n v="0.50521120331476488"/>
  </r>
  <r>
    <x v="0"/>
    <n v="478"/>
    <x v="0"/>
    <s v="Weekday"/>
    <n v="618223.22251174808"/>
    <n v="110208.09586280129"/>
    <n v="508015.12664894678"/>
    <n v="39323"/>
    <n v="3348.1509999999998"/>
    <s v="Route 478 one trip added August 2018"/>
    <n v="0.17826586231271344"/>
  </r>
  <r>
    <x v="0"/>
    <n v="479"/>
    <x v="0"/>
    <s v="Weekday"/>
    <n v="197955.94037387747"/>
    <n v="30896.067999121897"/>
    <n v="167059.87237475556"/>
    <n v="11297"/>
    <n v="1091.9480000000001"/>
    <m/>
    <n v="0.15607547791073503"/>
  </r>
  <r>
    <x v="0"/>
    <n v="480"/>
    <x v="0"/>
    <s v="Weekday"/>
    <n v="945571.13104613195"/>
    <n v="355468.09623588074"/>
    <n v="590103.03481025121"/>
    <n v="134129"/>
    <n v="4964.244999999999"/>
    <m/>
    <n v="0.37592951451744183"/>
  </r>
  <r>
    <x v="0"/>
    <n v="484"/>
    <x v="0"/>
    <s v="Weekday"/>
    <n v="494373.06111402984"/>
    <n v="140230.40898929286"/>
    <n v="354142.65212473698"/>
    <n v="54999"/>
    <n v="2626.6459999999993"/>
    <m/>
    <n v="0.28365301433151502"/>
  </r>
  <r>
    <x v="0"/>
    <n v="490"/>
    <x v="0"/>
    <s v="Weekday"/>
    <n v="1071269.2566856577"/>
    <n v="325989.70559116127"/>
    <n v="745279.55109449639"/>
    <n v="127797"/>
    <n v="6388.8509999999987"/>
    <s v="Route 490 re-alignment on select trips November 2018"/>
    <n v="0.30430230640588274"/>
  </r>
  <r>
    <x v="0"/>
    <n v="491"/>
    <x v="0"/>
    <s v="Weekday"/>
    <n v="243300.11351541901"/>
    <n v="14296.858439140799"/>
    <n v="229003.2550762782"/>
    <n v="7986"/>
    <n v="1551.6489999999997"/>
    <s v="Route 492 re-alignment to serve Marschall Road in November 2018"/>
    <n v="5.8762234972137582E-2"/>
  </r>
  <r>
    <x v="0"/>
    <n v="492"/>
    <x v="0"/>
    <s v="Weekday"/>
    <n v="129491.26530883087"/>
    <n v="10520.049849383762"/>
    <n v="118971.21545944711"/>
    <n v="3805"/>
    <n v="956.43399999999997"/>
    <s v="Route 493 select trips eliminated November 2018"/>
    <n v="8.1241385851732267E-2"/>
  </r>
  <r>
    <x v="0"/>
    <n v="493"/>
    <x v="0"/>
    <s v="Weekday"/>
    <n v="1028433.0603402476"/>
    <n v="181005.26896017202"/>
    <n v="847427.79138007551"/>
    <n v="72994"/>
    <n v="5317.8940000000002"/>
    <m/>
    <n v="0.17600102130155956"/>
  </r>
  <r>
    <x v="0"/>
    <n v="495"/>
    <x v="0"/>
    <s v="Weekday"/>
    <n v="1051880.9583371307"/>
    <n v="90037.314212092009"/>
    <n v="961843.64412503876"/>
    <n v="78774"/>
    <n v="6689.3410000000003"/>
    <s v="Route 495 direct service to Mystic Lake added February 2018; one trip added August 2018"/>
    <n v="8.5596486464046065E-2"/>
  </r>
  <r>
    <x v="0"/>
    <n v="465"/>
    <x v="0"/>
    <s v="Saturday"/>
    <n v="77692.432161609904"/>
    <n v="1248.6405341114744"/>
    <n v="76443.791627498431"/>
    <n v="883"/>
    <n v="254.71800000000002"/>
    <m/>
    <n v="1.60715850871311E-2"/>
  </r>
  <r>
    <x v="0"/>
    <n v="495"/>
    <x v="0"/>
    <s v="Saturday"/>
    <n v="238298.54153284617"/>
    <n v="18904.892469571667"/>
    <n v="219393.6490632745"/>
    <n v="17688"/>
    <n v="1422.8980000000001"/>
    <s v="Route 495 direct service to Mystic Lake added February 2018; one trip added August 2018"/>
    <n v="7.9332808115260278E-2"/>
  </r>
  <r>
    <x v="0"/>
    <n v="465"/>
    <x v="0"/>
    <s v="Sunday"/>
    <n v="83447.776197980158"/>
    <n v="1028.260308030156"/>
    <n v="82419.515889950009"/>
    <n v="676"/>
    <n v="273.58600000000001"/>
    <m/>
    <n v="1.232220143998331E-2"/>
  </r>
  <r>
    <x v="0"/>
    <n v="495"/>
    <x v="0"/>
    <s v="Sunday"/>
    <n v="255925.50774113712"/>
    <n v="15518.413233593816"/>
    <n v="240407.09450754331"/>
    <n v="16014"/>
    <n v="1527.3590000000004"/>
    <s v="Route 495 direct service to Mystic Lake added February 2018; one trip added August 2018"/>
    <n v="6.0636446013385824E-2"/>
  </r>
  <r>
    <x v="1"/>
    <n v="742"/>
    <x v="0"/>
    <s v="Weekday"/>
    <n v="315804.85951476434"/>
    <n v="60828.149344447069"/>
    <n v="254976.71017031727"/>
    <n v="25861"/>
    <n v="2082.37"/>
    <m/>
    <n v="0.19261308846833392"/>
  </r>
  <r>
    <x v="1"/>
    <n v="747"/>
    <x v="0"/>
    <s v="Weekday"/>
    <n v="458481.7363876896"/>
    <n v="142791.27285302681"/>
    <n v="315690.46353466279"/>
    <n v="60736"/>
    <n v="2762.369999999999"/>
    <m/>
    <n v="0.31144375341547587"/>
  </r>
  <r>
    <x v="1"/>
    <n v="772"/>
    <x v="0"/>
    <s v="Weekday"/>
    <n v="287526.72877666721"/>
    <n v="147013.90173900963"/>
    <n v="140512.82703765758"/>
    <n v="62493"/>
    <n v="2118.7000000000007"/>
    <m/>
    <n v="0.51130516583451568"/>
  </r>
  <r>
    <x v="1"/>
    <n v="774"/>
    <x v="0"/>
    <s v="Weekday"/>
    <n v="534351.01982550602"/>
    <n v="203747.98648970004"/>
    <n v="330603.03333580599"/>
    <n v="86513"/>
    <n v="4013.559999999999"/>
    <m/>
    <n v="0.38129989263655673"/>
  </r>
  <r>
    <x v="1"/>
    <n v="776"/>
    <x v="0"/>
    <s v="Weekday"/>
    <n v="518749.58892294299"/>
    <n v="194707.63310907615"/>
    <n v="324041.95581386681"/>
    <n v="82710"/>
    <n v="3636.7599999999998"/>
    <m/>
    <n v="0.37534031306576854"/>
  </r>
  <r>
    <x v="1"/>
    <n v="777"/>
    <x v="0"/>
    <s v="Weekday"/>
    <n v="362597.27434452646"/>
    <n v="124400.12577345855"/>
    <n v="238197.1485710679"/>
    <n v="52891"/>
    <n v="2569.8900000000012"/>
    <m/>
    <n v="0.34308069744412412"/>
  </r>
  <r>
    <x v="1"/>
    <n v="790"/>
    <x v="0"/>
    <s v="Weekday"/>
    <n v="491251.44000074774"/>
    <n v="169595.86763039883"/>
    <n v="321655.57237034891"/>
    <n v="72086"/>
    <n v="3754.4500000000016"/>
    <m/>
    <n v="0.3452323063524062"/>
  </r>
  <r>
    <x v="1"/>
    <n v="793"/>
    <x v="0"/>
    <s v="Weekday"/>
    <n v="134093.28596229784"/>
    <n v="32771.323929729973"/>
    <n v="101321.96203256787"/>
    <n v="13936"/>
    <n v="1013.1200000000001"/>
    <m/>
    <n v="0.24439198200381246"/>
  </r>
  <r>
    <x v="1"/>
    <n v="795"/>
    <x v="0"/>
    <s v="Weekday"/>
    <n v="69633.772482974513"/>
    <n v="13672.699131152982"/>
    <n v="55961.073351821527"/>
    <n v="5805"/>
    <n v="561.70000000000005"/>
    <m/>
    <n v="0.19635154959464479"/>
  </r>
  <r>
    <x v="2"/>
    <n v="780"/>
    <x v="0"/>
    <s v="Weekday"/>
    <n v="298369.42088851391"/>
    <n v="62991.837916858407"/>
    <n v="235377.5829716555"/>
    <n v="22535"/>
    <n v="1547.241"/>
    <m/>
    <n v="0.21112028749218031"/>
  </r>
  <r>
    <x v="2"/>
    <n v="781"/>
    <x v="0"/>
    <s v="Weekday"/>
    <n v="1762121.7892634284"/>
    <n v="1145009.080955911"/>
    <n v="617112.70830751746"/>
    <n v="409621"/>
    <n v="8267.6149999999998"/>
    <m/>
    <n v="0.64978997929225302"/>
  </r>
  <r>
    <x v="2"/>
    <n v="782"/>
    <x v="0"/>
    <s v="Weekday"/>
    <n v="462494.49670881452"/>
    <n v="108546.66296815823"/>
    <n v="353947.83374065626"/>
    <n v="38832"/>
    <n v="2386.5700000000002"/>
    <m/>
    <n v="0.23469828017542652"/>
  </r>
  <r>
    <x v="2"/>
    <n v="783"/>
    <x v="0"/>
    <s v="Weekday"/>
    <n v="461288.09653233673"/>
    <n v="181224.17731643064"/>
    <n v="280063.91921590606"/>
    <n v="64832"/>
    <n v="2298.0209999999997"/>
    <m/>
    <n v="0.3928654970261663"/>
  </r>
  <r>
    <x v="2"/>
    <n v="785"/>
    <x v="0"/>
    <s v="Weekday"/>
    <n v="871112.88833368407"/>
    <n v="660764.3934313989"/>
    <n v="210348.49490228517"/>
    <n v="236385"/>
    <n v="3980.2529999999997"/>
    <m/>
    <n v="0.75852900614907426"/>
  </r>
  <r>
    <x v="2"/>
    <n v="789"/>
    <x v="0"/>
    <s v="Weekday"/>
    <n v="99602.980281398035"/>
    <n v="52638.087411242988"/>
    <n v="46964.892870155047"/>
    <n v="18831"/>
    <n v="480.95600000000002"/>
    <m/>
    <n v="0.5284790401103463"/>
  </r>
  <r>
    <x v="3"/>
    <n v="690"/>
    <x v="0"/>
    <s v="Weekday"/>
    <n v="2913803"/>
    <n v="1000421"/>
    <n v="1913382"/>
    <n v="350141"/>
    <n v="11904"/>
    <m/>
    <n v="0.3433385853470533"/>
  </r>
  <r>
    <x v="3"/>
    <n v="691"/>
    <x v="0"/>
    <s v="Weekday"/>
    <n v="77858"/>
    <n v="18213"/>
    <n v="59645"/>
    <n v="8151"/>
    <n v="271.77999999999997"/>
    <s v="One Trip Daily"/>
    <n v="0.23392586503634821"/>
  </r>
  <r>
    <x v="3"/>
    <n v="692"/>
    <x v="0"/>
    <s v="Weekday"/>
    <n v="350399"/>
    <n v="104131"/>
    <n v="246268"/>
    <n v="35563"/>
    <n v="1212.5"/>
    <m/>
    <n v="0.29717835952728178"/>
  </r>
  <r>
    <x v="3"/>
    <n v="695"/>
    <x v="0"/>
    <s v="Weekday"/>
    <n v="1079551"/>
    <n v="235597"/>
    <n v="843954"/>
    <n v="82670"/>
    <n v="3639.38"/>
    <s v="Serves Downtown East and the U of M"/>
    <n v="0.21823610000824417"/>
  </r>
  <r>
    <x v="3"/>
    <n v="697"/>
    <x v="0"/>
    <s v="Weekday"/>
    <n v="490510"/>
    <n v="148193"/>
    <n v="342317"/>
    <n v="51086"/>
    <n v="1684.27"/>
    <m/>
    <n v="0.30212024219689709"/>
  </r>
  <r>
    <x v="3"/>
    <n v="698"/>
    <x v="0"/>
    <s v="Weekday"/>
    <n v="2480765"/>
    <n v="455042"/>
    <n v="2025723"/>
    <n v="186109"/>
    <n v="10242.83"/>
    <m/>
    <n v="0.1834280957688455"/>
  </r>
  <r>
    <x v="3"/>
    <n v="699"/>
    <x v="0"/>
    <s v="Weekday"/>
    <n v="1386785"/>
    <n v="412183"/>
    <n v="974602"/>
    <n v="142741"/>
    <n v="4873.3"/>
    <m/>
    <n v="0.29722199187328968"/>
  </r>
  <r>
    <x v="4"/>
    <n v="118"/>
    <x v="0"/>
    <s v="Weekday"/>
    <n v="4516.1925537190082"/>
    <n v="2375.514999999999"/>
    <n v="2140.6775537190092"/>
    <n v="1244"/>
    <n v="40.85"/>
    <m/>
    <n v="0.52599949442895266"/>
  </r>
  <r>
    <x v="4"/>
    <n v="350"/>
    <x v="0"/>
    <s v="Weekday"/>
    <n v="316688.66271395248"/>
    <n v="40428.324999999924"/>
    <n v="276260.33771395253"/>
    <n v="30184"/>
    <n v="1441.8139999999999"/>
    <m/>
    <n v="0.12765952735263092"/>
  </r>
  <r>
    <x v="4"/>
    <n v="364"/>
    <x v="0"/>
    <s v="Weekday"/>
    <n v="93536.283924821211"/>
    <n v="26357.37"/>
    <n v="67178.913924821216"/>
    <n v="11962"/>
    <n v="1175.6599999999999"/>
    <m/>
    <n v="0.28178765388182891"/>
  </r>
  <r>
    <x v="4"/>
    <n v="417"/>
    <x v="0"/>
    <s v="Weekday"/>
    <n v="53156.818589019342"/>
    <n v="6116.5890000000036"/>
    <n v="47040.229589019335"/>
    <n v="2898"/>
    <n v="607"/>
    <m/>
    <n v="0.11506687500036945"/>
  </r>
  <r>
    <x v="4"/>
    <n v="670"/>
    <x v="0"/>
    <s v="Weekday"/>
    <n v="305742.66606030514"/>
    <n v="94825.319000000018"/>
    <n v="210917.34706030512"/>
    <n v="35150"/>
    <n v="1796.3"/>
    <m/>
    <n v="0.31014748520998547"/>
  </r>
  <r>
    <x v="4"/>
    <n v="671"/>
    <x v="0"/>
    <s v="Weekday"/>
    <n v="303589.37263734522"/>
    <n v="57612.778000000006"/>
    <n v="245976.59463734523"/>
    <n v="21345"/>
    <n v="1783.65"/>
    <m/>
    <n v="0.18977205130570149"/>
  </r>
  <r>
    <x v="4"/>
    <n v="762"/>
    <x v="0"/>
    <s v="Weekday"/>
    <n v="5129.1618165289256"/>
    <n v="2239.9619999999977"/>
    <n v="2889.1998165289278"/>
    <n v="1382"/>
    <n v="46.17"/>
    <m/>
    <n v="0.43671111969632781"/>
  </r>
  <r>
    <x v="4"/>
    <s v="Metro Vanpool"/>
    <x v="1"/>
    <s v="All Days"/>
    <n v="833156"/>
    <n v="563125"/>
    <n v="270031"/>
    <n v="117252"/>
    <n v="31763"/>
    <m/>
    <n v="0.67589383020706806"/>
  </r>
  <r>
    <x v="2"/>
    <s v="MG DAR / MY RIDE"/>
    <x v="2"/>
    <s v="All Days"/>
    <n v="788759.54999999993"/>
    <n v="52769.59"/>
    <n v="735989.96"/>
    <n v="36568"/>
    <n v="10913"/>
    <m/>
    <n v="6.690199820718494E-2"/>
  </r>
  <r>
    <x v="4"/>
    <s v="Metro Mobility"/>
    <x v="3"/>
    <s v="All Days"/>
    <n v="76298154"/>
    <n v="7168431"/>
    <n v="69129723"/>
    <n v="1977507"/>
    <n v="1158967"/>
    <m/>
    <n v="9.3952875976527558E-2"/>
  </r>
  <r>
    <x v="1"/>
    <s v="Plymouth Dial a Ride"/>
    <x v="2"/>
    <s v="Weekday"/>
    <n v="1147968.2066275401"/>
    <n v="65180.160000000003"/>
    <n v="1082788.0466275401"/>
    <n v="27514"/>
    <n v="9422"/>
    <m/>
    <n v="5.6778715319550484E-2"/>
  </r>
  <r>
    <x v="3"/>
    <s v="SW Prime "/>
    <x v="2"/>
    <s v="Weekday"/>
    <n v="991034"/>
    <n v="220638"/>
    <n v="770396"/>
    <n v="96297"/>
    <n v="27155.09"/>
    <m/>
    <n v="0.22263413767842474"/>
  </r>
  <r>
    <x v="3"/>
    <s v="SW Prime "/>
    <x v="2"/>
    <s v="Saturday"/>
    <n v="90103"/>
    <n v="20140"/>
    <n v="69963"/>
    <n v="6214"/>
    <n v="2353.9499999999998"/>
    <m/>
    <n v="0.22352196930179904"/>
  </r>
  <r>
    <x v="4"/>
    <s v="Transit Link"/>
    <x v="2"/>
    <s v="All Days"/>
    <n v="7007241"/>
    <n v="957534"/>
    <n v="6049707"/>
    <n v="243857"/>
    <n v="109827"/>
    <m/>
    <n v="0.13664921757364989"/>
  </r>
  <r>
    <x v="0"/>
    <s v="State Fair "/>
    <x v="4"/>
    <s v="Special"/>
    <n v="197774.34815439294"/>
    <n v="204123"/>
    <n v="-6348.6518456070626"/>
    <n v="86082"/>
    <s v="--"/>
    <m/>
    <n v="1.0321004817098474"/>
  </r>
  <r>
    <x v="0"/>
    <s v="Event"/>
    <x v="4"/>
    <s v="Special"/>
    <s v="--"/>
    <s v="--"/>
    <m/>
    <n v="1532"/>
    <s v="--"/>
    <m/>
    <e v="#VALUE!"/>
  </r>
  <r>
    <x v="3"/>
    <n v="682"/>
    <x v="4"/>
    <s v="Special"/>
    <n v="133337"/>
    <n v="21075"/>
    <n v="112262"/>
    <n v="16359"/>
    <n v="414.86000000000013"/>
    <s v="Twins, Vikings, Gophers, _x000a_Summer Adventures, &amp; Misc."/>
    <n v="0.15805815340078147"/>
  </r>
  <r>
    <x v="3"/>
    <s v="682 (State Fair)"/>
    <x v="4"/>
    <s v="Special"/>
    <n v="715931"/>
    <n v="329783"/>
    <n v="386148"/>
    <n v="108855"/>
    <n v="2364"/>
    <s v="State Fair"/>
    <n v="0.46063517294264389"/>
  </r>
  <r>
    <x v="0"/>
    <n v="420"/>
    <x v="5"/>
    <s v="Weekday"/>
    <n v="362762.45666615583"/>
    <n v="19013.718688996662"/>
    <n v="343748.73797715915"/>
    <n v="17255"/>
    <n v="3745.8599999999992"/>
    <s v="Route 420 new extension to Dakota County Technical College August 2018; new weekend service added November 2018"/>
    <n v="5.2413689287848952E-2"/>
  </r>
  <r>
    <x v="0"/>
    <n v="421"/>
    <x v="5"/>
    <s v="Weekday"/>
    <n v="108447.03465111906"/>
    <n v="4208.3631571873939"/>
    <n v="104238.67149393166"/>
    <n v="4858"/>
    <n v="1164.3059999999998"/>
    <m/>
    <n v="3.8805700595926508E-2"/>
  </r>
  <r>
    <x v="0"/>
    <n v="426"/>
    <x v="5"/>
    <s v="Weekday"/>
    <n v="129061.9401128797"/>
    <n v="10994.270675022966"/>
    <n v="118067.66943785673"/>
    <n v="8052"/>
    <n v="810.61199999999985"/>
    <m/>
    <n v="8.5186001894959854E-2"/>
  </r>
  <r>
    <x v="0"/>
    <n v="436"/>
    <x v="5"/>
    <s v="Weekday"/>
    <n v="266334.2328573307"/>
    <n v="32872.574151921282"/>
    <n v="233461.65870540941"/>
    <n v="27011"/>
    <n v="1199.4480000000001"/>
    <s v="Route 436 one trip eliminated August 2018"/>
    <n v="0.12342601925127059"/>
  </r>
  <r>
    <x v="0"/>
    <n v="440"/>
    <x v="5"/>
    <s v="Weekday"/>
    <n v="934007.0422128588"/>
    <n v="58864.513032416362"/>
    <n v="875142.52918044245"/>
    <n v="43965"/>
    <n v="6859.3990000000013"/>
    <s v="Route 440 weekday and weekend trip reductions November 2018"/>
    <n v="6.3023628700865003E-2"/>
  </r>
  <r>
    <x v="0"/>
    <n v="442"/>
    <x v="5"/>
    <s v="Weekday"/>
    <n v="516024.01324438548"/>
    <n v="24249.415747149993"/>
    <n v="491774.59749723552"/>
    <n v="26968"/>
    <n v="5846.1049999999996"/>
    <s v="Route 442 weekday and weekend trip reductions November 2018"/>
    <n v="4.6992804840005835E-2"/>
  </r>
  <r>
    <x v="0"/>
    <n v="444"/>
    <x v="5"/>
    <s v="Weekday"/>
    <n v="1771233.7423037621"/>
    <n v="201456.16592191972"/>
    <n v="1569777.5763818424"/>
    <n v="197660"/>
    <n v="14040.740999999995"/>
    <m/>
    <n v="0.11373776431104737"/>
  </r>
  <r>
    <x v="0"/>
    <s v="445 /437 /438 "/>
    <x v="5"/>
    <s v="Weekday"/>
    <n v="1057228.5060972855"/>
    <n v="92356.556821736594"/>
    <n v="964871.94927554892"/>
    <n v="79444"/>
    <n v="8697.4569999999967"/>
    <s v="Route 437 eliminated November 2018; Route 445 two trips added November 2018"/>
    <n v="8.7357232886830616E-2"/>
  </r>
  <r>
    <x v="0"/>
    <n v="446"/>
    <x v="5"/>
    <s v="Weekday"/>
    <n v="952507.10127239709"/>
    <n v="92146.925797107731"/>
    <n v="860360.17547528935"/>
    <n v="77552"/>
    <n v="7306.3999999999987"/>
    <m/>
    <n v="9.6741458067886504E-2"/>
  </r>
  <r>
    <x v="0"/>
    <n v="489"/>
    <x v="5"/>
    <s v="Weekday"/>
    <n v="216834.39186915275"/>
    <n v="31305.813871892198"/>
    <n v="185528.57799726055"/>
    <n v="16106"/>
    <n v="1264.4939999999999"/>
    <m/>
    <n v="0.14437660742850922"/>
  </r>
  <r>
    <x v="0"/>
    <n v="497"/>
    <x v="5"/>
    <s v="Weekday"/>
    <n v="291071.68167129235"/>
    <n v="16715.284691273562"/>
    <n v="274356.39698001876"/>
    <n v="17299"/>
    <n v="3074.3990000000003"/>
    <s v="Route 497 re-alignment and one trip added August 2018"/>
    <n v="5.7426695016487922E-2"/>
  </r>
  <r>
    <x v="0"/>
    <n v="499"/>
    <x v="5"/>
    <s v="Weekday"/>
    <n v="303920.07324174512"/>
    <n v="15030.131177130872"/>
    <n v="288889.94206461427"/>
    <n v="14635"/>
    <n v="3070.407999999999"/>
    <m/>
    <n v="4.9454223331854605E-2"/>
  </r>
  <r>
    <x v="0"/>
    <n v="420"/>
    <x v="5"/>
    <s v="Saturday"/>
    <n v="6434.6079755216415"/>
    <n v="0"/>
    <n v="6434.6079755216415"/>
    <n v="124"/>
    <n v="45.035999999999987"/>
    <m/>
    <n v="0"/>
  </r>
  <r>
    <x v="0"/>
    <n v="440"/>
    <x v="5"/>
    <s v="Saturday"/>
    <n v="121826.26334496499"/>
    <n v="4875.5245877085272"/>
    <n v="116950.73875725646"/>
    <n v="5405"/>
    <n v="970.12799999999993"/>
    <s v="Route 440 weekday and weekend trip reductions November 2018"/>
    <n v="4.0020308050513889E-2"/>
  </r>
  <r>
    <x v="0"/>
    <n v="442"/>
    <x v="5"/>
    <s v="Saturday"/>
    <n v="71671.875433777808"/>
    <n v="2501.9961127943934"/>
    <n v="69169.879320983411"/>
    <n v="2743"/>
    <n v="594.21599999999989"/>
    <s v="Route 442 weekday and weekend trip reductions November 2018"/>
    <n v="3.4909036461675209E-2"/>
  </r>
  <r>
    <x v="0"/>
    <n v="444"/>
    <x v="5"/>
    <s v="Saturday"/>
    <n v="180009.46072422079"/>
    <n v="22609.697783072643"/>
    <n v="157399.76294114813"/>
    <n v="24242"/>
    <n v="1293.0839999999998"/>
    <m/>
    <n v="0.1256028304962887"/>
  </r>
  <r>
    <x v="0"/>
    <n v="445"/>
    <x v="5"/>
    <s v="Saturday"/>
    <n v="104288.22141648406"/>
    <n v="7129.5003799250371"/>
    <n v="97158.721036559014"/>
    <n v="8093"/>
    <n v="829.548"/>
    <m/>
    <n v="6.8363428612448568E-2"/>
  </r>
  <r>
    <x v="0"/>
    <n v="420"/>
    <x v="5"/>
    <s v="Sunday"/>
    <n v="6434.6079755216415"/>
    <n v="0"/>
    <n v="6434.6079755216415"/>
    <n v="76"/>
    <n v="45.035999999999987"/>
    <m/>
    <n v="0"/>
  </r>
  <r>
    <x v="0"/>
    <n v="440"/>
    <x v="5"/>
    <s v="Sunday"/>
    <n v="131051.4362813616"/>
    <n v="3721.1190142338091"/>
    <n v="127330.3172671278"/>
    <n v="4258"/>
    <n v="1043.8119999999999"/>
    <s v="Route 440 weekday and weekend trip reductions November 2018"/>
    <n v="2.8394339809025306E-2"/>
  </r>
  <r>
    <x v="0"/>
    <n v="442"/>
    <x v="5"/>
    <s v="Sunday"/>
    <n v="77473.102057322016"/>
    <n v="1849.6347550010557"/>
    <n v="75623.467302320962"/>
    <n v="2285"/>
    <n v="642.53199999999993"/>
    <s v="Route 442 weekday and weekend trip reductions November 2018"/>
    <n v="2.3874541045645997E-2"/>
  </r>
  <r>
    <x v="0"/>
    <n v="444"/>
    <x v="5"/>
    <s v="Sunday"/>
    <n v="193344.99848546609"/>
    <n v="18596.366448256955"/>
    <n v="174748.63203720914"/>
    <n v="19564"/>
    <n v="1388.8679999999999"/>
    <m/>
    <n v="9.6182298967794913E-2"/>
  </r>
  <r>
    <x v="0"/>
    <n v="445"/>
    <x v="5"/>
    <s v="Sunday"/>
    <n v="112011.98144893027"/>
    <n v="5885.7305823760789"/>
    <n v="106126.25086655418"/>
    <n v="6711"/>
    <n v="890.99599999999987"/>
    <m/>
    <n v="5.2545544737636535E-2"/>
  </r>
  <r>
    <x v="1"/>
    <n v="740"/>
    <x v="5"/>
    <s v="Weekday"/>
    <n v="108368.80419761772"/>
    <n v="0"/>
    <n v="108368.80419761772"/>
    <n v="8052"/>
    <n v="874.92999999999961"/>
    <m/>
    <n v="0"/>
  </r>
  <r>
    <x v="1"/>
    <n v="741"/>
    <x v="5"/>
    <s v="Weekday"/>
    <n v="130668.15266576959"/>
    <n v="0"/>
    <n v="130668.15266576959"/>
    <n v="8681"/>
    <n v="1083.0600000000002"/>
    <m/>
    <n v="0"/>
  </r>
  <r>
    <x v="1"/>
    <n v="771"/>
    <x v="5"/>
    <s v="Weekday"/>
    <n v="157491.96879277425"/>
    <n v="0"/>
    <n v="157491.96879277425"/>
    <n v="8115"/>
    <n v="1141.19"/>
    <m/>
    <n v="0"/>
  </r>
  <r>
    <x v="1"/>
    <n v="791"/>
    <x v="5"/>
    <s v="Weekday"/>
    <n v="94882.812070833024"/>
    <n v="0"/>
    <n v="94882.812070833024"/>
    <n v="3944"/>
    <n v="752.7199999999998"/>
    <m/>
    <n v="0"/>
  </r>
  <r>
    <x v="2"/>
    <n v="787"/>
    <x v="5"/>
    <s v="Weekday"/>
    <n v="55620.166440344947"/>
    <n v="0"/>
    <n v="55620.166440344947"/>
    <n v="3093"/>
    <n v="224"/>
    <m/>
    <n v="0"/>
  </r>
  <r>
    <x v="2"/>
    <n v="788"/>
    <x v="5"/>
    <s v="Weekday"/>
    <n v="75462.575965179363"/>
    <n v="0"/>
    <n v="75462.575965179363"/>
    <n v="5971"/>
    <n v="494"/>
    <m/>
    <n v="0"/>
  </r>
  <r>
    <x v="3"/>
    <s v="SW Flex"/>
    <x v="5"/>
    <s v="Weekday"/>
    <n v="839951"/>
    <n v="99146"/>
    <n v="740805"/>
    <n v="40219"/>
    <n v="3938.74"/>
    <s v="Reverse commute route with limited revenue due to the majority of passengers transferring from other transit providers."/>
    <n v="0.1180378379214978"/>
  </r>
  <r>
    <x v="4"/>
    <n v="219"/>
    <x v="5"/>
    <s v="Saturday"/>
    <n v="103077.01138415447"/>
    <n v="12533.863000000008"/>
    <n v="90543.148384154454"/>
    <n v="9987"/>
    <n v="1342.2"/>
    <m/>
    <n v="0.12159707418454295"/>
  </r>
  <r>
    <x v="4"/>
    <n v="225"/>
    <x v="5"/>
    <s v="Saturday"/>
    <n v="30438.634042180689"/>
    <n v="2045.5489999999995"/>
    <n v="28393.08504218069"/>
    <n v="2021"/>
    <n v="334.79999999999995"/>
    <m/>
    <n v="6.7202391446520113E-2"/>
  </r>
  <r>
    <x v="4"/>
    <n v="227"/>
    <x v="5"/>
    <s v="Saturday"/>
    <n v="30438.634042180689"/>
    <n v="2428.6679999999997"/>
    <n v="28009.966042180691"/>
    <n v="2010"/>
    <n v="334.79999999999995"/>
    <m/>
    <n v="7.9788994362705132E-2"/>
  </r>
  <r>
    <x v="4"/>
    <n v="538"/>
    <x v="5"/>
    <s v="Saturday"/>
    <n v="91509.08536907594"/>
    <n v="13599.378000000021"/>
    <n v="77909.707369075913"/>
    <n v="14417"/>
    <n v="1179.9000000000001"/>
    <m/>
    <n v="0.14861232570679497"/>
  </r>
  <r>
    <x v="4"/>
    <n v="539"/>
    <x v="5"/>
    <s v="Saturday"/>
    <n v="111376.67249372513"/>
    <n v="23172.187000000042"/>
    <n v="88204.485493725078"/>
    <n v="21706"/>
    <n v="1432.0800000000002"/>
    <m/>
    <n v="0.20805242678897184"/>
  </r>
  <r>
    <x v="4"/>
    <n v="540"/>
    <x v="5"/>
    <s v="Saturday"/>
    <n v="46948.061480012744"/>
    <n v="17943.163000000022"/>
    <n v="29004.898480012722"/>
    <n v="13421"/>
    <n v="599.4"/>
    <m/>
    <n v="0.38219177606809146"/>
  </r>
  <r>
    <x v="4"/>
    <n v="615"/>
    <x v="5"/>
    <s v="Saturday"/>
    <n v="67007.618852735948"/>
    <n v="7795.7759999999989"/>
    <n v="59211.84285273595"/>
    <n v="6228"/>
    <n v="1090.8"/>
    <m/>
    <n v="0.11634163597326058"/>
  </r>
  <r>
    <x v="4"/>
    <n v="716"/>
    <x v="5"/>
    <s v="Saturday"/>
    <n v="39572.422334190233"/>
    <n v="7729.5929999999971"/>
    <n v="31842.829334190235"/>
    <n v="7106"/>
    <n v="604.79999999999995"/>
    <m/>
    <n v="0.19532776979694"/>
  </r>
  <r>
    <x v="4"/>
    <n v="805"/>
    <x v="5"/>
    <s v="Saturday"/>
    <n v="89617.723989771344"/>
    <n v="11304.582000000006"/>
    <n v="78313.141989771335"/>
    <n v="8323"/>
    <n v="997.21800000000007"/>
    <m/>
    <n v="0.1261422573205527"/>
  </r>
  <r>
    <x v="4"/>
    <n v="538"/>
    <x v="5"/>
    <s v="Sunday / Holiday"/>
    <n v="78730.835484905678"/>
    <n v="11165.421000000011"/>
    <n v="67565.414484905661"/>
    <n v="11652"/>
    <n v="1016.1600000000001"/>
    <m/>
    <n v="0.14181763639661429"/>
  </r>
  <r>
    <x v="4"/>
    <n v="539"/>
    <x v="5"/>
    <s v="Sunday / Holiday"/>
    <n v="89429.672421625975"/>
    <n v="15899.647000000028"/>
    <n v="73530.025421625949"/>
    <n v="13850"/>
    <n v="1145.5"/>
    <m/>
    <n v="0.17778939103164107"/>
  </r>
  <r>
    <x v="4"/>
    <n v="540"/>
    <x v="5"/>
    <s v="Sunday / Holiday"/>
    <n v="48594.628030243184"/>
    <n v="15942.680000000015"/>
    <n v="32651.948030243169"/>
    <n v="11032"/>
    <n v="609"/>
    <m/>
    <n v="0.32807494668089615"/>
  </r>
  <r>
    <x v="4"/>
    <n v="219"/>
    <x v="5"/>
    <s v="Weekday"/>
    <n v="1033220.6548756333"/>
    <n v="161076.90900000086"/>
    <n v="872143.74587563239"/>
    <n v="129786"/>
    <n v="13284.612000000001"/>
    <m/>
    <n v="0.15589787935413404"/>
  </r>
  <r>
    <x v="4"/>
    <n v="223"/>
    <x v="5"/>
    <s v="Weekday"/>
    <n v="227321.21453261154"/>
    <n v="38680.283999999985"/>
    <n v="188640.93053261156"/>
    <n v="30802"/>
    <n v="2686.6880000000001"/>
    <m/>
    <n v="0.17015694764577682"/>
  </r>
  <r>
    <x v="4"/>
    <n v="225"/>
    <x v="5"/>
    <s v="Weekday"/>
    <n v="203367.96282948804"/>
    <n v="25387.433999999983"/>
    <n v="177980.52882948806"/>
    <n v="23653"/>
    <n v="2302.3000000000002"/>
    <m/>
    <n v="0.1248349722679075"/>
  </r>
  <r>
    <x v="4"/>
    <n v="227"/>
    <x v="5"/>
    <s v="Weekday"/>
    <n v="219514.78577991069"/>
    <n v="28870.000000000004"/>
    <n v="190644.78577991069"/>
    <n v="23225"/>
    <n v="2378.1999999999998"/>
    <m/>
    <n v="0.13151733673623955"/>
  </r>
  <r>
    <x v="4"/>
    <n v="537"/>
    <x v="5"/>
    <s v="Weekday"/>
    <n v="171934.44419894775"/>
    <n v="19824.342000000011"/>
    <n v="152110.10219894774"/>
    <n v="17578"/>
    <n v="1505.35"/>
    <m/>
    <n v="0.11530174824691315"/>
  </r>
  <r>
    <x v="4"/>
    <n v="538"/>
    <x v="5"/>
    <s v="Weekday"/>
    <n v="610334.30204585427"/>
    <n v="111615.1299999995"/>
    <n v="498719.17204585479"/>
    <n v="106301"/>
    <n v="7493.8600000000006"/>
    <m/>
    <n v="0.18287540062202481"/>
  </r>
  <r>
    <x v="4"/>
    <n v="539"/>
    <x v="5"/>
    <s v="Weekday"/>
    <n v="1056183.6303056676"/>
    <n v="256351.14900000527"/>
    <n v="799832.48130566231"/>
    <n v="228448"/>
    <n v="12954.358999999999"/>
    <m/>
    <n v="0.24271456368417232"/>
  </r>
  <r>
    <x v="4"/>
    <n v="540"/>
    <x v="5"/>
    <s v="Weekday"/>
    <n v="832295.30959712307"/>
    <n v="204592.85300000312"/>
    <n v="627702.45659711992"/>
    <n v="166029"/>
    <n v="10946.2"/>
    <m/>
    <n v="0.24581762103049382"/>
  </r>
  <r>
    <x v="4"/>
    <n v="542"/>
    <x v="5"/>
    <s v="Weekday"/>
    <n v="310559.986550709"/>
    <n v="59166.355999999731"/>
    <n v="251393.63055070926"/>
    <n v="46687"/>
    <n v="4000.3"/>
    <m/>
    <n v="0.19051506492237338"/>
  </r>
  <r>
    <x v="4"/>
    <n v="604"/>
    <x v="5"/>
    <s v="Weekday"/>
    <n v="141097.06270877708"/>
    <n v="10150.398000000012"/>
    <n v="130946.66470877707"/>
    <n v="11407"/>
    <n v="1733.05"/>
    <m/>
    <n v="7.193911627310294E-2"/>
  </r>
  <r>
    <x v="4"/>
    <n v="614"/>
    <x v="5"/>
    <s v="Weekday"/>
    <n v="179917.4610620639"/>
    <n v="11812.487000000005"/>
    <n v="168104.97406206391"/>
    <n v="8139"/>
    <n v="2454.1"/>
    <m/>
    <n v="6.5655033870921489E-2"/>
  </r>
  <r>
    <x v="4"/>
    <n v="615"/>
    <x v="5"/>
    <s v="Weekday"/>
    <n v="332914.3209107602"/>
    <n v="53074.019999999786"/>
    <n v="279840.30091076042"/>
    <n v="40624"/>
    <n v="5439.5"/>
    <m/>
    <n v="0.15942245997349755"/>
  </r>
  <r>
    <x v="4"/>
    <n v="705"/>
    <x v="5"/>
    <s v="Weekday"/>
    <n v="468700.45348603308"/>
    <n v="74868.914999999572"/>
    <n v="393831.5384860335"/>
    <n v="67419"/>
    <n v="5667.2"/>
    <m/>
    <n v="0.15973723610282492"/>
  </r>
  <r>
    <x v="4"/>
    <n v="716"/>
    <x v="5"/>
    <s v="Weekday"/>
    <n v="203313.99306647081"/>
    <n v="43236.195999999836"/>
    <n v="160077.79706647096"/>
    <n v="34751"/>
    <n v="3036"/>
    <m/>
    <n v="0.21265725662996712"/>
  </r>
  <r>
    <x v="4"/>
    <n v="717"/>
    <x v="5"/>
    <s v="Weekday"/>
    <n v="217903.05880866692"/>
    <n v="59300.00099999964"/>
    <n v="158603.05780866728"/>
    <n v="59814"/>
    <n v="3440.8"/>
    <m/>
    <n v="0.27213936933335525"/>
  </r>
  <r>
    <x v="4"/>
    <n v="801"/>
    <x v="5"/>
    <s v="Weekday"/>
    <n v="432159.23539605504"/>
    <n v="78426.598999999464"/>
    <n v="353732.63639605558"/>
    <n v="71127"/>
    <n v="4440.1499999999996"/>
    <m/>
    <n v="0.18147616104541864"/>
  </r>
  <r>
    <x v="4"/>
    <n v="805"/>
    <x v="5"/>
    <s v="Weekday"/>
    <n v="550607.08847054362"/>
    <n v="94726.23799999959"/>
    <n v="455880.85047054401"/>
    <n v="67708"/>
    <n v="6013.0510000000004"/>
    <m/>
    <n v="0.17203962677474186"/>
  </r>
  <r>
    <x v="4"/>
    <n v="831"/>
    <x v="5"/>
    <s v="Weekday"/>
    <n v="254966.95214362995"/>
    <n v="23037.654000000031"/>
    <n v="231929.29814362992"/>
    <n v="22388"/>
    <n v="2635.5009999999997"/>
    <m/>
    <n v="9.0355451192052072E-2"/>
  </r>
  <r>
    <x v="4"/>
    <n v="16"/>
    <x v="6"/>
    <s v="Saturday"/>
    <n v="17374.968545454547"/>
    <n v="1061.6920000000027"/>
    <n v="16313.276545454544"/>
    <n v="1830"/>
    <n v="155.1"/>
    <m/>
    <n v="6.1104686159431994E-2"/>
  </r>
  <r>
    <x v="4"/>
    <n v="30"/>
    <x v="6"/>
    <s v="Saturday"/>
    <n v="123274.51127390889"/>
    <n v="16127.966000000039"/>
    <n v="107146.54527390885"/>
    <n v="18477"/>
    <n v="1647"/>
    <m/>
    <n v="0.13082968923044133"/>
  </r>
  <r>
    <x v="4"/>
    <n v="80"/>
    <x v="6"/>
    <s v="Saturday"/>
    <n v="63413.431966057688"/>
    <n v="13620.547000000013"/>
    <n v="49792.884966057674"/>
    <n v="16439"/>
    <n v="732.78000000000009"/>
    <m/>
    <n v="0.21478962071143648"/>
  </r>
  <r>
    <x v="4"/>
    <n v="83"/>
    <x v="6"/>
    <s v="Saturday"/>
    <n v="123046.66568990084"/>
    <n v="14980.092000000037"/>
    <n v="108066.5736899008"/>
    <n v="15359"/>
    <n v="1904.5799999999997"/>
    <m/>
    <n v="0.12174317699719303"/>
  </r>
  <r>
    <x v="4"/>
    <n v="84"/>
    <x v="6"/>
    <s v="Saturday"/>
    <n v="15961.278190082645"/>
    <n v="1449.975000000004"/>
    <n v="14511.303190082641"/>
    <n v="1805"/>
    <n v="143.15"/>
    <m/>
    <n v="9.0843288534431355E-2"/>
  </r>
  <r>
    <x v="4"/>
    <n v="87"/>
    <x v="6"/>
    <s v="Saturday"/>
    <n v="182530.55473042087"/>
    <n v="21102.920000000049"/>
    <n v="161427.63473042083"/>
    <n v="22016"/>
    <n v="2144.8799999999997"/>
    <m/>
    <n v="0.11561308204627396"/>
  </r>
  <r>
    <x v="4"/>
    <n v="16"/>
    <x v="6"/>
    <s v="Sunday / Holiday"/>
    <n v="19636.319249586777"/>
    <n v="720.78700000000129"/>
    <n v="18915.532249586777"/>
    <n v="1163"/>
    <n v="171.17999999999998"/>
    <m/>
    <n v="3.6706828343869458E-2"/>
  </r>
  <r>
    <x v="4"/>
    <n v="30"/>
    <x v="6"/>
    <s v="Sunday / Holiday"/>
    <n v="132405.58618308735"/>
    <n v="14739.707000000035"/>
    <n v="117665.87918308731"/>
    <n v="16224"/>
    <n v="1769"/>
    <m/>
    <n v="0.1113223952622234"/>
  </r>
  <r>
    <x v="4"/>
    <n v="80"/>
    <x v="6"/>
    <s v="Sunday / Holiday"/>
    <n v="36816.230827874351"/>
    <n v="9295.1319999999996"/>
    <n v="27521.098827874353"/>
    <n v="10070"/>
    <n v="425.14000000000004"/>
    <m/>
    <n v="0.25247375385756377"/>
  </r>
  <r>
    <x v="4"/>
    <n v="83"/>
    <x v="6"/>
    <s v="Sunday / Holiday"/>
    <n v="132161.34462989349"/>
    <n v="13853.04800000003"/>
    <n v="118308.29662989346"/>
    <n v="14140"/>
    <n v="2045.6599999999999"/>
    <m/>
    <n v="0.10481921199269198"/>
  </r>
  <r>
    <x v="4"/>
    <n v="84"/>
    <x v="6"/>
    <s v="Sunday / Holiday"/>
    <n v="14182.833150413224"/>
    <n v="907.88100000000168"/>
    <n v="13274.952150413223"/>
    <n v="1110"/>
    <n v="126.47999999999999"/>
    <m/>
    <n v="6.4012668722225649E-2"/>
  </r>
  <r>
    <x v="4"/>
    <n v="87"/>
    <x v="6"/>
    <s v="Sunday / Holiday"/>
    <n v="196672.96610930478"/>
    <n v="16740.027000000056"/>
    <n v="179932.93910930472"/>
    <n v="16903"/>
    <n v="2324.6400000000003"/>
    <m/>
    <n v="8.5116054998105151E-2"/>
  </r>
  <r>
    <x v="4"/>
    <n v="16"/>
    <x v="6"/>
    <s v="Weekday"/>
    <n v="68162.511626446285"/>
    <n v="5546.8319999999758"/>
    <n v="62615.679626446312"/>
    <n v="8246"/>
    <n v="653.22"/>
    <m/>
    <n v="8.1376578820899367E-2"/>
  </r>
  <r>
    <x v="4"/>
    <n v="27"/>
    <x v="6"/>
    <s v="Weekday"/>
    <n v="198839.54029937569"/>
    <n v="16034.195000000062"/>
    <n v="182805.34529937562"/>
    <n v="20552"/>
    <n v="2788.06"/>
    <m/>
    <n v="8.0638865770151877E-2"/>
  </r>
  <r>
    <x v="4"/>
    <n v="30"/>
    <x v="6"/>
    <s v="Weekday"/>
    <n v="740903.76198727987"/>
    <n v="157690.41700000194"/>
    <n v="583213.34498727787"/>
    <n v="154565"/>
    <n v="9689.9"/>
    <m/>
    <n v="0.21283522245458544"/>
  </r>
  <r>
    <x v="4"/>
    <n v="80"/>
    <x v="6"/>
    <s v="Weekday"/>
    <n v="302711.37223541766"/>
    <n v="96714.173999999417"/>
    <n v="205997.19823541824"/>
    <n v="98052"/>
    <n v="3526.0610000000001"/>
    <m/>
    <n v="0.31949303154948905"/>
  </r>
  <r>
    <x v="4"/>
    <n v="83"/>
    <x v="6"/>
    <s v="Weekday"/>
    <n v="600486.51163716486"/>
    <n v="114548.83800000108"/>
    <n v="485937.67363716377"/>
    <n v="106379"/>
    <n v="9500.15"/>
    <m/>
    <n v="0.1907600516915782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3">
  <r>
    <x v="0"/>
    <n v="416"/>
    <x v="0"/>
    <s v="Weekday"/>
    <x v="0"/>
    <n v="5351.9923228285734"/>
    <n v="245412.66536043488"/>
    <n v="6818"/>
    <n v="1665.0000000000007"/>
    <s v="35W@94 Construction Service new Route 416 between Eagan &amp; 46th Street LRT from July to December 2018"/>
    <n v="2.1342689884108722E-2"/>
  </r>
  <r>
    <x v="0"/>
    <n v="460"/>
    <x v="0"/>
    <s v="Weekday"/>
    <x v="1"/>
    <n v="1034817.5589223363"/>
    <n v="1210555.2710712985"/>
    <n v="395097"/>
    <n v="9565.0190000000039"/>
    <s v="35W@94 Construction service Route 460 extension to Heart of the City from July 2018 through February 2019"/>
    <n v="0.46086669665690655"/>
  </r>
  <r>
    <x v="0"/>
    <n v="464"/>
    <x v="0"/>
    <s v="Weekday"/>
    <x v="2"/>
    <n v="141772.63268813721"/>
    <n v="777936.8570225219"/>
    <n v="54608"/>
    <n v="4819.6499999999996"/>
    <m/>
    <n v="0.15414936376565921"/>
  </r>
  <r>
    <x v="0"/>
    <n v="465"/>
    <x v="0"/>
    <s v="Weekday"/>
    <x v="3"/>
    <n v="495713.35156860796"/>
    <n v="1649665.9327594205"/>
    <n v="231204"/>
    <n v="11820.544999999996"/>
    <m/>
    <n v="0.23106093882316681"/>
  </r>
  <r>
    <x v="0"/>
    <n v="470"/>
    <x v="0"/>
    <s v="Weekday"/>
    <x v="4"/>
    <n v="267353.93378234422"/>
    <n v="412394.75254610076"/>
    <n v="103128"/>
    <n v="3449.1490000000003"/>
    <m/>
    <n v="0.39331290984380451"/>
  </r>
  <r>
    <x v="0"/>
    <n v="472"/>
    <x v="0"/>
    <s v="Weekday"/>
    <x v="5"/>
    <n v="222100.24874315257"/>
    <n v="475427.69587900012"/>
    <n v="70428"/>
    <n v="3748.1949999999997"/>
    <m/>
    <n v="0.31841053889742454"/>
  </r>
  <r>
    <x v="0"/>
    <n v="475"/>
    <x v="0"/>
    <s v="Weekday"/>
    <x v="6"/>
    <n v="139956.40945427879"/>
    <n v="619262.67838270392"/>
    <n v="57878"/>
    <n v="4233.4490000000005"/>
    <m/>
    <n v="0.18434258529117728"/>
  </r>
  <r>
    <x v="0"/>
    <n v="476"/>
    <x v="0"/>
    <s v="Weekday"/>
    <x v="7"/>
    <n v="255373.17631088529"/>
    <n v="637306.05910979304"/>
    <n v="92676"/>
    <n v="5009.146999999999"/>
    <m/>
    <n v="0.28607495971443736"/>
  </r>
  <r>
    <x v="0"/>
    <n v="477"/>
    <x v="0"/>
    <s v="Weekday"/>
    <x v="8"/>
    <n v="902981.20012595097"/>
    <n v="884352.87758522958"/>
    <n v="349669"/>
    <n v="8924.3990000000013"/>
    <m/>
    <n v="0.50521120331476488"/>
  </r>
  <r>
    <x v="0"/>
    <n v="478"/>
    <x v="0"/>
    <s v="Weekday"/>
    <x v="9"/>
    <n v="110208.09586280129"/>
    <n v="508015.12664894678"/>
    <n v="39323"/>
    <n v="3348.1509999999998"/>
    <s v="Route 478 one trip added August 2018"/>
    <n v="0.17826586231271344"/>
  </r>
  <r>
    <x v="0"/>
    <n v="479"/>
    <x v="0"/>
    <s v="Weekday"/>
    <x v="10"/>
    <n v="30896.067999121897"/>
    <n v="167059.87237475556"/>
    <n v="11297"/>
    <n v="1091.9480000000001"/>
    <m/>
    <n v="0.15607547791073503"/>
  </r>
  <r>
    <x v="0"/>
    <n v="480"/>
    <x v="0"/>
    <s v="Weekday"/>
    <x v="11"/>
    <n v="355468.09623588074"/>
    <n v="590103.03481025121"/>
    <n v="134129"/>
    <n v="4964.244999999999"/>
    <m/>
    <n v="0.37592951451744183"/>
  </r>
  <r>
    <x v="0"/>
    <n v="484"/>
    <x v="0"/>
    <s v="Weekday"/>
    <x v="12"/>
    <n v="140230.40898929286"/>
    <n v="354142.65212473698"/>
    <n v="54999"/>
    <n v="2626.6459999999993"/>
    <m/>
    <n v="0.28365301433151502"/>
  </r>
  <r>
    <x v="0"/>
    <n v="490"/>
    <x v="0"/>
    <s v="Weekday"/>
    <x v="13"/>
    <n v="325989.70559116127"/>
    <n v="745279.55109449639"/>
    <n v="127797"/>
    <n v="6388.8509999999987"/>
    <s v="Route 490 re-alignment on select trips November 2018"/>
    <n v="0.30430230640588274"/>
  </r>
  <r>
    <x v="0"/>
    <n v="491"/>
    <x v="0"/>
    <s v="Weekday"/>
    <x v="14"/>
    <n v="14296.858439140799"/>
    <n v="229003.2550762782"/>
    <n v="7986"/>
    <n v="1551.6489999999997"/>
    <s v="Route 492 re-alignment to serve Marschall Road in November 2018"/>
    <n v="5.8762234972137582E-2"/>
  </r>
  <r>
    <x v="0"/>
    <n v="492"/>
    <x v="0"/>
    <s v="Weekday"/>
    <x v="15"/>
    <n v="10520.049849383762"/>
    <n v="118971.21545944711"/>
    <n v="3805"/>
    <n v="956.43399999999997"/>
    <s v="Route 493 select trips eliminated November 2018"/>
    <n v="8.1241385851732267E-2"/>
  </r>
  <r>
    <x v="0"/>
    <n v="493"/>
    <x v="0"/>
    <s v="Weekday"/>
    <x v="16"/>
    <n v="181005.26896017202"/>
    <n v="847427.79138007551"/>
    <n v="72994"/>
    <n v="5317.8940000000002"/>
    <m/>
    <n v="0.17600102130155956"/>
  </r>
  <r>
    <x v="0"/>
    <n v="495"/>
    <x v="0"/>
    <s v="Weekday"/>
    <x v="17"/>
    <n v="90037.314212092009"/>
    <n v="961843.64412503876"/>
    <n v="78774"/>
    <n v="6689.3410000000003"/>
    <s v="Route 495 direct service to Mystic Lake added February 2018; one trip added August 2018"/>
    <n v="8.5596486464046065E-2"/>
  </r>
  <r>
    <x v="0"/>
    <n v="465"/>
    <x v="0"/>
    <s v="Saturday"/>
    <x v="18"/>
    <n v="1248.6405341114744"/>
    <n v="76443.791627498431"/>
    <n v="883"/>
    <n v="254.71800000000002"/>
    <m/>
    <n v="1.60715850871311E-2"/>
  </r>
  <r>
    <x v="0"/>
    <n v="495"/>
    <x v="0"/>
    <s v="Saturday"/>
    <x v="19"/>
    <n v="18904.892469571667"/>
    <n v="219393.6490632745"/>
    <n v="17688"/>
    <n v="1422.8980000000001"/>
    <s v="Route 495 direct service to Mystic Lake added February 2018; one trip added August 2018"/>
    <n v="7.9332808115260278E-2"/>
  </r>
  <r>
    <x v="0"/>
    <n v="465"/>
    <x v="0"/>
    <s v="Sunday"/>
    <x v="20"/>
    <n v="1028.260308030156"/>
    <n v="82419.515889950009"/>
    <n v="676"/>
    <n v="273.58600000000001"/>
    <m/>
    <n v="1.232220143998331E-2"/>
  </r>
  <r>
    <x v="0"/>
    <n v="495"/>
    <x v="0"/>
    <s v="Sunday"/>
    <x v="21"/>
    <n v="15518.413233593816"/>
    <n v="240407.09450754331"/>
    <n v="16014"/>
    <n v="1527.3590000000004"/>
    <s v="Route 495 direct service to Mystic Lake added February 2018; one trip added August 2018"/>
    <n v="6.0636446013385824E-2"/>
  </r>
  <r>
    <x v="1"/>
    <n v="742"/>
    <x v="0"/>
    <s v="Weekday"/>
    <x v="22"/>
    <n v="60828.149344447069"/>
    <n v="254976.71017031727"/>
    <n v="25861"/>
    <n v="2082.37"/>
    <m/>
    <n v="0.19261308846833392"/>
  </r>
  <r>
    <x v="1"/>
    <n v="747"/>
    <x v="0"/>
    <s v="Weekday"/>
    <x v="23"/>
    <n v="142791.27285302681"/>
    <n v="315690.46353466279"/>
    <n v="60736"/>
    <n v="2762.369999999999"/>
    <m/>
    <n v="0.31144375341547587"/>
  </r>
  <r>
    <x v="1"/>
    <n v="772"/>
    <x v="0"/>
    <s v="Weekday"/>
    <x v="24"/>
    <n v="147013.90173900963"/>
    <n v="140512.82703765758"/>
    <n v="62493"/>
    <n v="2118.7000000000007"/>
    <m/>
    <n v="0.51130516583451568"/>
  </r>
  <r>
    <x v="1"/>
    <n v="774"/>
    <x v="0"/>
    <s v="Weekday"/>
    <x v="25"/>
    <n v="203747.98648970004"/>
    <n v="330603.03333580599"/>
    <n v="86513"/>
    <n v="4013.559999999999"/>
    <m/>
    <n v="0.38129989263655673"/>
  </r>
  <r>
    <x v="1"/>
    <n v="776"/>
    <x v="0"/>
    <s v="Weekday"/>
    <x v="26"/>
    <n v="194707.63310907615"/>
    <n v="324041.95581386681"/>
    <n v="82710"/>
    <n v="3636.7599999999998"/>
    <m/>
    <n v="0.37534031306576854"/>
  </r>
  <r>
    <x v="1"/>
    <n v="777"/>
    <x v="0"/>
    <s v="Weekday"/>
    <x v="27"/>
    <n v="124400.12577345855"/>
    <n v="238197.1485710679"/>
    <n v="52891"/>
    <n v="2569.8900000000012"/>
    <m/>
    <n v="0.34308069744412412"/>
  </r>
  <r>
    <x v="1"/>
    <n v="790"/>
    <x v="0"/>
    <s v="Weekday"/>
    <x v="28"/>
    <n v="169595.86763039883"/>
    <n v="321655.57237034891"/>
    <n v="72086"/>
    <n v="3754.4500000000016"/>
    <m/>
    <n v="0.3452323063524062"/>
  </r>
  <r>
    <x v="1"/>
    <n v="793"/>
    <x v="0"/>
    <s v="Weekday"/>
    <x v="29"/>
    <n v="32771.323929729973"/>
    <n v="101321.96203256787"/>
    <n v="13936"/>
    <n v="1013.1200000000001"/>
    <m/>
    <n v="0.24439198200381246"/>
  </r>
  <r>
    <x v="1"/>
    <n v="795"/>
    <x v="0"/>
    <s v="Weekday"/>
    <x v="30"/>
    <n v="13672.699131152982"/>
    <n v="55961.073351821527"/>
    <n v="5805"/>
    <n v="561.70000000000005"/>
    <m/>
    <n v="0.19635154959464479"/>
  </r>
  <r>
    <x v="2"/>
    <n v="780"/>
    <x v="0"/>
    <s v="Weekday"/>
    <x v="31"/>
    <n v="62991.837916858407"/>
    <n v="235377.5829716555"/>
    <n v="22535"/>
    <n v="1547.241"/>
    <m/>
    <n v="0.21112028749218031"/>
  </r>
  <r>
    <x v="2"/>
    <n v="781"/>
    <x v="0"/>
    <s v="Weekday"/>
    <x v="32"/>
    <n v="1145009.080955911"/>
    <n v="617112.70830751746"/>
    <n v="409621"/>
    <n v="8267.6149999999998"/>
    <m/>
    <n v="0.64978997929225302"/>
  </r>
  <r>
    <x v="2"/>
    <n v="782"/>
    <x v="0"/>
    <s v="Weekday"/>
    <x v="33"/>
    <n v="108546.66296815823"/>
    <n v="353947.83374065626"/>
    <n v="38832"/>
    <n v="2386.5700000000002"/>
    <m/>
    <n v="0.23469828017542652"/>
  </r>
  <r>
    <x v="2"/>
    <n v="783"/>
    <x v="0"/>
    <s v="Weekday"/>
    <x v="34"/>
    <n v="181224.17731643064"/>
    <n v="280063.91921590606"/>
    <n v="64832"/>
    <n v="2298.0209999999997"/>
    <m/>
    <n v="0.3928654970261663"/>
  </r>
  <r>
    <x v="2"/>
    <n v="785"/>
    <x v="0"/>
    <s v="Weekday"/>
    <x v="35"/>
    <n v="660764.3934313989"/>
    <n v="210348.49490228517"/>
    <n v="236385"/>
    <n v="3980.2529999999997"/>
    <m/>
    <n v="0.75852900614907426"/>
  </r>
  <r>
    <x v="2"/>
    <n v="789"/>
    <x v="0"/>
    <s v="Weekday"/>
    <x v="36"/>
    <n v="52638.087411242988"/>
    <n v="46964.892870155047"/>
    <n v="18831"/>
    <n v="480.95600000000002"/>
    <m/>
    <n v="0.5284790401103463"/>
  </r>
  <r>
    <x v="3"/>
    <n v="690"/>
    <x v="0"/>
    <s v="Weekday"/>
    <x v="37"/>
    <n v="1000421"/>
    <n v="1913382"/>
    <n v="350141"/>
    <n v="11904"/>
    <m/>
    <n v="0.3433385853470533"/>
  </r>
  <r>
    <x v="3"/>
    <n v="691"/>
    <x v="0"/>
    <s v="Weekday"/>
    <x v="38"/>
    <n v="18213"/>
    <n v="59645"/>
    <n v="8151"/>
    <n v="271.77999999999997"/>
    <s v="One Trip Daily"/>
    <n v="0.23392586503634821"/>
  </r>
  <r>
    <x v="3"/>
    <n v="692"/>
    <x v="0"/>
    <s v="Weekday"/>
    <x v="39"/>
    <n v="104131"/>
    <n v="246268"/>
    <n v="35563"/>
    <n v="1212.5"/>
    <m/>
    <n v="0.29717835952728178"/>
  </r>
  <r>
    <x v="3"/>
    <n v="695"/>
    <x v="0"/>
    <s v="Weekday"/>
    <x v="40"/>
    <n v="235597"/>
    <n v="843954"/>
    <n v="82670"/>
    <n v="3639.38"/>
    <s v="Serves Downtown East and the U of M"/>
    <n v="0.21823610000824417"/>
  </r>
  <r>
    <x v="3"/>
    <n v="697"/>
    <x v="0"/>
    <s v="Weekday"/>
    <x v="41"/>
    <n v="148193"/>
    <n v="342317"/>
    <n v="51086"/>
    <n v="1684.27"/>
    <m/>
    <n v="0.30212024219689709"/>
  </r>
  <r>
    <x v="3"/>
    <n v="698"/>
    <x v="0"/>
    <s v="Weekday"/>
    <x v="42"/>
    <n v="455042"/>
    <n v="2025723"/>
    <n v="186109"/>
    <n v="10242.83"/>
    <m/>
    <n v="0.1834280957688455"/>
  </r>
  <r>
    <x v="3"/>
    <n v="699"/>
    <x v="0"/>
    <s v="Weekday"/>
    <x v="43"/>
    <n v="412183"/>
    <n v="974602"/>
    <n v="142741"/>
    <n v="4873.3"/>
    <m/>
    <n v="0.29722199187328968"/>
  </r>
  <r>
    <x v="4"/>
    <n v="118"/>
    <x v="0"/>
    <s v="Weekday"/>
    <x v="44"/>
    <n v="2375.514999999999"/>
    <n v="2140.6775537190092"/>
    <n v="1244"/>
    <n v="40.85"/>
    <m/>
    <n v="0.52599949442895266"/>
  </r>
  <r>
    <x v="4"/>
    <n v="350"/>
    <x v="0"/>
    <s v="Weekday"/>
    <x v="45"/>
    <n v="40428.324999999924"/>
    <n v="276260.33771395253"/>
    <n v="30184"/>
    <n v="1441.8139999999999"/>
    <m/>
    <n v="0.12765952735263092"/>
  </r>
  <r>
    <x v="4"/>
    <n v="364"/>
    <x v="0"/>
    <s v="Weekday"/>
    <x v="46"/>
    <n v="26357.37"/>
    <n v="67178.913924821216"/>
    <n v="11962"/>
    <n v="1175.6599999999999"/>
    <m/>
    <n v="0.28178765388182891"/>
  </r>
  <r>
    <x v="4"/>
    <n v="417"/>
    <x v="0"/>
    <s v="Weekday"/>
    <x v="47"/>
    <n v="6116.5890000000036"/>
    <n v="47040.229589019335"/>
    <n v="2898"/>
    <n v="607"/>
    <m/>
    <n v="0.11506687500036945"/>
  </r>
  <r>
    <x v="4"/>
    <n v="670"/>
    <x v="0"/>
    <s v="Weekday"/>
    <x v="48"/>
    <n v="94825.319000000018"/>
    <n v="210917.34706030512"/>
    <n v="35150"/>
    <n v="1796.3"/>
    <m/>
    <n v="0.31014748520998547"/>
  </r>
  <r>
    <x v="4"/>
    <n v="671"/>
    <x v="0"/>
    <s v="Weekday"/>
    <x v="49"/>
    <n v="57612.778000000006"/>
    <n v="245976.59463734523"/>
    <n v="21345"/>
    <n v="1783.65"/>
    <m/>
    <n v="0.18977205130570149"/>
  </r>
  <r>
    <x v="4"/>
    <n v="762"/>
    <x v="0"/>
    <s v="Weekday"/>
    <x v="50"/>
    <n v="2239.9619999999977"/>
    <n v="2889.1998165289278"/>
    <n v="1382"/>
    <n v="46.17"/>
    <m/>
    <n v="0.43671111969632781"/>
  </r>
  <r>
    <x v="4"/>
    <s v="Metro Vanpool"/>
    <x v="1"/>
    <s v="All Days"/>
    <x v="51"/>
    <n v="563125"/>
    <n v="270031"/>
    <n v="117252"/>
    <n v="31763"/>
    <m/>
    <n v="0.67589383020706806"/>
  </r>
  <r>
    <x v="2"/>
    <s v="MG DAR / MY RIDE"/>
    <x v="2"/>
    <s v="All Days"/>
    <x v="52"/>
    <n v="52769.59"/>
    <n v="735989.96"/>
    <n v="36568"/>
    <n v="10913"/>
    <m/>
    <n v="6.690199820718494E-2"/>
  </r>
  <r>
    <x v="4"/>
    <s v="Metro Mobility"/>
    <x v="3"/>
    <s v="All Days"/>
    <x v="53"/>
    <n v="7168431"/>
    <n v="69129723"/>
    <n v="1977507"/>
    <n v="1158967"/>
    <m/>
    <n v="9.3952875976527558E-2"/>
  </r>
  <r>
    <x v="1"/>
    <s v="Plymouth Dial a Ride"/>
    <x v="2"/>
    <s v="Weekday"/>
    <x v="54"/>
    <n v="65180.160000000003"/>
    <n v="1082788.0466275401"/>
    <n v="27514"/>
    <n v="9422"/>
    <m/>
    <n v="5.6778715319550484E-2"/>
  </r>
  <r>
    <x v="3"/>
    <s v="SW Prime "/>
    <x v="2"/>
    <s v="Weekday"/>
    <x v="55"/>
    <n v="220638"/>
    <n v="770396"/>
    <n v="96297"/>
    <n v="27155.09"/>
    <m/>
    <n v="0.22263413767842474"/>
  </r>
  <r>
    <x v="3"/>
    <s v="SW Prime "/>
    <x v="2"/>
    <s v="Saturday"/>
    <x v="56"/>
    <n v="20140"/>
    <n v="69963"/>
    <n v="6214"/>
    <n v="2353.9499999999998"/>
    <m/>
    <n v="0.22352196930179904"/>
  </r>
  <r>
    <x v="4"/>
    <s v="Transit Link"/>
    <x v="2"/>
    <s v="All Days"/>
    <x v="57"/>
    <n v="957534"/>
    <n v="6049707"/>
    <n v="243857"/>
    <n v="109827"/>
    <m/>
    <n v="0.13664921757364989"/>
  </r>
  <r>
    <x v="0"/>
    <s v="State Fair "/>
    <x v="4"/>
    <s v="Special"/>
    <x v="58"/>
    <n v="204123"/>
    <n v="-6348.6518456070626"/>
    <n v="86082"/>
    <s v="--"/>
    <m/>
    <n v="1.0321004817098474"/>
  </r>
  <r>
    <x v="0"/>
    <s v="Event"/>
    <x v="4"/>
    <s v="Special"/>
    <x v="59"/>
    <s v="--"/>
    <m/>
    <n v="1532"/>
    <s v="--"/>
    <m/>
    <e v="#VALUE!"/>
  </r>
  <r>
    <x v="3"/>
    <n v="682"/>
    <x v="4"/>
    <s v="Special"/>
    <x v="60"/>
    <n v="21075"/>
    <n v="112262"/>
    <n v="16359"/>
    <n v="414.86000000000013"/>
    <s v="Twins, Vikings, Gophers, _x000a_Summer Adventures, &amp; Misc."/>
    <n v="0.15805815340078147"/>
  </r>
  <r>
    <x v="3"/>
    <s v="682 (State Fair)"/>
    <x v="4"/>
    <s v="Special"/>
    <x v="61"/>
    <n v="329783"/>
    <n v="386148"/>
    <n v="108855"/>
    <n v="2364"/>
    <s v="State Fair"/>
    <n v="0.46063517294264389"/>
  </r>
  <r>
    <x v="0"/>
    <n v="420"/>
    <x v="5"/>
    <s v="Weekday"/>
    <x v="62"/>
    <n v="19013.718688996662"/>
    <n v="343748.73797715915"/>
    <n v="17255"/>
    <n v="3745.8599999999992"/>
    <s v="Route 420 new extension to Dakota County Technical College August 2018; new weekend service added November 2018"/>
    <n v="5.2413689287848952E-2"/>
  </r>
  <r>
    <x v="0"/>
    <n v="421"/>
    <x v="5"/>
    <s v="Weekday"/>
    <x v="63"/>
    <n v="4208.3631571873939"/>
    <n v="104238.67149393166"/>
    <n v="4858"/>
    <n v="1164.3059999999998"/>
    <m/>
    <n v="3.8805700595926508E-2"/>
  </r>
  <r>
    <x v="0"/>
    <n v="426"/>
    <x v="5"/>
    <s v="Weekday"/>
    <x v="64"/>
    <n v="10994.270675022966"/>
    <n v="118067.66943785673"/>
    <n v="8052"/>
    <n v="810.61199999999985"/>
    <m/>
    <n v="8.5186001894959854E-2"/>
  </r>
  <r>
    <x v="0"/>
    <n v="436"/>
    <x v="5"/>
    <s v="Weekday"/>
    <x v="65"/>
    <n v="32872.574151921282"/>
    <n v="233461.65870540941"/>
    <n v="27011"/>
    <n v="1199.4480000000001"/>
    <s v="Route 436 one trip eliminated August 2018"/>
    <n v="0.12342601925127059"/>
  </r>
  <r>
    <x v="0"/>
    <n v="440"/>
    <x v="5"/>
    <s v="Weekday"/>
    <x v="66"/>
    <n v="58864.513032416362"/>
    <n v="875142.52918044245"/>
    <n v="43965"/>
    <n v="6859.3990000000013"/>
    <s v="Route 440 weekday and weekend trip reductions November 2018"/>
    <n v="6.3023628700865003E-2"/>
  </r>
  <r>
    <x v="0"/>
    <n v="442"/>
    <x v="5"/>
    <s v="Weekday"/>
    <x v="67"/>
    <n v="24249.415747149993"/>
    <n v="491774.59749723552"/>
    <n v="26968"/>
    <n v="5846.1049999999996"/>
    <s v="Route 442 weekday and weekend trip reductions November 2018"/>
    <n v="4.6992804840005835E-2"/>
  </r>
  <r>
    <x v="0"/>
    <n v="444"/>
    <x v="5"/>
    <s v="Weekday"/>
    <x v="68"/>
    <n v="201456.16592191972"/>
    <n v="1569777.5763818424"/>
    <n v="197660"/>
    <n v="14040.740999999995"/>
    <m/>
    <n v="0.11373776431104737"/>
  </r>
  <r>
    <x v="0"/>
    <s v="445 /437 /438 "/>
    <x v="5"/>
    <s v="Weekday"/>
    <x v="69"/>
    <n v="92356.556821736594"/>
    <n v="964871.94927554892"/>
    <n v="79444"/>
    <n v="8697.4569999999967"/>
    <s v="Route 437 eliminated November 2018; Route 445 two trips added November 2018"/>
    <n v="8.7357232886830616E-2"/>
  </r>
  <r>
    <x v="0"/>
    <n v="446"/>
    <x v="5"/>
    <s v="Weekday"/>
    <x v="70"/>
    <n v="92146.925797107731"/>
    <n v="860360.17547528935"/>
    <n v="77552"/>
    <n v="7306.3999999999987"/>
    <m/>
    <n v="9.6741458067886504E-2"/>
  </r>
  <r>
    <x v="0"/>
    <n v="489"/>
    <x v="5"/>
    <s v="Weekday"/>
    <x v="71"/>
    <n v="31305.813871892198"/>
    <n v="185528.57799726055"/>
    <n v="16106"/>
    <n v="1264.4939999999999"/>
    <m/>
    <n v="0.14437660742850922"/>
  </r>
  <r>
    <x v="0"/>
    <n v="497"/>
    <x v="5"/>
    <s v="Weekday"/>
    <x v="72"/>
    <n v="16715.284691273562"/>
    <n v="274356.39698001876"/>
    <n v="17299"/>
    <n v="3074.3990000000003"/>
    <s v="Route 497 re-alignment and one trip added August 2018"/>
    <n v="5.7426695016487922E-2"/>
  </r>
  <r>
    <x v="0"/>
    <n v="499"/>
    <x v="5"/>
    <s v="Weekday"/>
    <x v="73"/>
    <n v="15030.131177130872"/>
    <n v="288889.94206461427"/>
    <n v="14635"/>
    <n v="3070.407999999999"/>
    <m/>
    <n v="4.9454223331854605E-2"/>
  </r>
  <r>
    <x v="0"/>
    <n v="420"/>
    <x v="5"/>
    <s v="Saturday"/>
    <x v="74"/>
    <n v="0"/>
    <n v="6434.6079755216415"/>
    <n v="124"/>
    <n v="45.035999999999987"/>
    <m/>
    <n v="0"/>
  </r>
  <r>
    <x v="0"/>
    <n v="440"/>
    <x v="5"/>
    <s v="Saturday"/>
    <x v="75"/>
    <n v="4875.5245877085272"/>
    <n v="116950.73875725646"/>
    <n v="5405"/>
    <n v="970.12799999999993"/>
    <s v="Route 440 weekday and weekend trip reductions November 2018"/>
    <n v="4.0020308050513889E-2"/>
  </r>
  <r>
    <x v="0"/>
    <n v="442"/>
    <x v="5"/>
    <s v="Saturday"/>
    <x v="76"/>
    <n v="2501.9961127943934"/>
    <n v="69169.879320983411"/>
    <n v="2743"/>
    <n v="594.21599999999989"/>
    <s v="Route 442 weekday and weekend trip reductions November 2018"/>
    <n v="3.4909036461675209E-2"/>
  </r>
  <r>
    <x v="0"/>
    <n v="444"/>
    <x v="5"/>
    <s v="Saturday"/>
    <x v="77"/>
    <n v="22609.697783072643"/>
    <n v="157399.76294114813"/>
    <n v="24242"/>
    <n v="1293.0839999999998"/>
    <m/>
    <n v="0.1256028304962887"/>
  </r>
  <r>
    <x v="0"/>
    <n v="445"/>
    <x v="5"/>
    <s v="Saturday"/>
    <x v="78"/>
    <n v="7129.5003799250371"/>
    <n v="97158.721036559014"/>
    <n v="8093"/>
    <n v="829.548"/>
    <m/>
    <n v="6.8363428612448568E-2"/>
  </r>
  <r>
    <x v="0"/>
    <n v="420"/>
    <x v="5"/>
    <s v="Sunday"/>
    <x v="74"/>
    <n v="0"/>
    <n v="6434.6079755216415"/>
    <n v="76"/>
    <n v="45.035999999999987"/>
    <m/>
    <n v="0"/>
  </r>
  <r>
    <x v="0"/>
    <n v="440"/>
    <x v="5"/>
    <s v="Sunday"/>
    <x v="79"/>
    <n v="3721.1190142338091"/>
    <n v="127330.3172671278"/>
    <n v="4258"/>
    <n v="1043.8119999999999"/>
    <s v="Route 440 weekday and weekend trip reductions November 2018"/>
    <n v="2.8394339809025306E-2"/>
  </r>
  <r>
    <x v="0"/>
    <n v="442"/>
    <x v="5"/>
    <s v="Sunday"/>
    <x v="80"/>
    <n v="1849.6347550010557"/>
    <n v="75623.467302320962"/>
    <n v="2285"/>
    <n v="642.53199999999993"/>
    <s v="Route 442 weekday and weekend trip reductions November 2018"/>
    <n v="2.3874541045645997E-2"/>
  </r>
  <r>
    <x v="0"/>
    <n v="444"/>
    <x v="5"/>
    <s v="Sunday"/>
    <x v="81"/>
    <n v="18596.366448256955"/>
    <n v="174748.63203720914"/>
    <n v="19564"/>
    <n v="1388.8679999999999"/>
    <m/>
    <n v="9.6182298967794913E-2"/>
  </r>
  <r>
    <x v="0"/>
    <n v="445"/>
    <x v="5"/>
    <s v="Sunday"/>
    <x v="82"/>
    <n v="5885.7305823760789"/>
    <n v="106126.25086655418"/>
    <n v="6711"/>
    <n v="890.99599999999987"/>
    <m/>
    <n v="5.2545544737636535E-2"/>
  </r>
  <r>
    <x v="1"/>
    <n v="740"/>
    <x v="5"/>
    <s v="Weekday"/>
    <x v="83"/>
    <n v="0"/>
    <n v="108368.80419761772"/>
    <n v="8052"/>
    <n v="874.92999999999961"/>
    <m/>
    <n v="0"/>
  </r>
  <r>
    <x v="1"/>
    <n v="741"/>
    <x v="5"/>
    <s v="Weekday"/>
    <x v="84"/>
    <n v="0"/>
    <n v="130668.15266576959"/>
    <n v="8681"/>
    <n v="1083.0600000000002"/>
    <m/>
    <n v="0"/>
  </r>
  <r>
    <x v="1"/>
    <n v="771"/>
    <x v="5"/>
    <s v="Weekday"/>
    <x v="85"/>
    <n v="0"/>
    <n v="157491.96879277425"/>
    <n v="8115"/>
    <n v="1141.19"/>
    <m/>
    <n v="0"/>
  </r>
  <r>
    <x v="1"/>
    <n v="791"/>
    <x v="5"/>
    <s v="Weekday"/>
    <x v="86"/>
    <n v="0"/>
    <n v="94882.812070833024"/>
    <n v="3944"/>
    <n v="752.7199999999998"/>
    <m/>
    <n v="0"/>
  </r>
  <r>
    <x v="2"/>
    <n v="787"/>
    <x v="5"/>
    <s v="Weekday"/>
    <x v="87"/>
    <n v="0"/>
    <n v="55620.166440344947"/>
    <n v="3093"/>
    <n v="224"/>
    <m/>
    <n v="0"/>
  </r>
  <r>
    <x v="2"/>
    <n v="788"/>
    <x v="5"/>
    <s v="Weekday"/>
    <x v="88"/>
    <n v="0"/>
    <n v="75462.575965179363"/>
    <n v="5971"/>
    <n v="494"/>
    <m/>
    <n v="0"/>
  </r>
  <r>
    <x v="3"/>
    <s v="SW Flex"/>
    <x v="5"/>
    <s v="Weekday"/>
    <x v="89"/>
    <n v="99146"/>
    <n v="740805"/>
    <n v="40219"/>
    <n v="3938.74"/>
    <s v="Reverse commute route with limited revenue due to the majority of passengers transferring from other transit providers."/>
    <n v="0.1180378379214978"/>
  </r>
  <r>
    <x v="4"/>
    <n v="219"/>
    <x v="5"/>
    <s v="Saturday"/>
    <x v="90"/>
    <n v="12533.863000000008"/>
    <n v="90543.148384154454"/>
    <n v="9987"/>
    <n v="1342.2"/>
    <m/>
    <n v="0.12159707418454295"/>
  </r>
  <r>
    <x v="4"/>
    <n v="225"/>
    <x v="5"/>
    <s v="Saturday"/>
    <x v="91"/>
    <n v="2045.5489999999995"/>
    <n v="28393.08504218069"/>
    <n v="2021"/>
    <n v="334.79999999999995"/>
    <m/>
    <n v="6.7202391446520113E-2"/>
  </r>
  <r>
    <x v="4"/>
    <n v="227"/>
    <x v="5"/>
    <s v="Saturday"/>
    <x v="91"/>
    <n v="2428.6679999999997"/>
    <n v="28009.966042180691"/>
    <n v="2010"/>
    <n v="334.79999999999995"/>
    <m/>
    <n v="7.9788994362705132E-2"/>
  </r>
  <r>
    <x v="4"/>
    <n v="538"/>
    <x v="5"/>
    <s v="Saturday"/>
    <x v="92"/>
    <n v="13599.378000000021"/>
    <n v="77909.707369075913"/>
    <n v="14417"/>
    <n v="1179.9000000000001"/>
    <m/>
    <n v="0.14861232570679497"/>
  </r>
  <r>
    <x v="4"/>
    <n v="539"/>
    <x v="5"/>
    <s v="Saturday"/>
    <x v="93"/>
    <n v="23172.187000000042"/>
    <n v="88204.485493725078"/>
    <n v="21706"/>
    <n v="1432.0800000000002"/>
    <m/>
    <n v="0.20805242678897184"/>
  </r>
  <r>
    <x v="4"/>
    <n v="540"/>
    <x v="5"/>
    <s v="Saturday"/>
    <x v="94"/>
    <n v="17943.163000000022"/>
    <n v="29004.898480012722"/>
    <n v="13421"/>
    <n v="599.4"/>
    <m/>
    <n v="0.38219177606809146"/>
  </r>
  <r>
    <x v="4"/>
    <n v="615"/>
    <x v="5"/>
    <s v="Saturday"/>
    <x v="95"/>
    <n v="7795.7759999999989"/>
    <n v="59211.84285273595"/>
    <n v="6228"/>
    <n v="1090.8"/>
    <m/>
    <n v="0.11634163597326058"/>
  </r>
  <r>
    <x v="4"/>
    <n v="716"/>
    <x v="5"/>
    <s v="Saturday"/>
    <x v="96"/>
    <n v="7729.5929999999971"/>
    <n v="31842.829334190235"/>
    <n v="7106"/>
    <n v="604.79999999999995"/>
    <m/>
    <n v="0.19532776979694"/>
  </r>
  <r>
    <x v="4"/>
    <n v="805"/>
    <x v="5"/>
    <s v="Saturday"/>
    <x v="97"/>
    <n v="11304.582000000006"/>
    <n v="78313.141989771335"/>
    <n v="8323"/>
    <n v="997.21800000000007"/>
    <m/>
    <n v="0.1261422573205527"/>
  </r>
  <r>
    <x v="4"/>
    <n v="538"/>
    <x v="5"/>
    <s v="Sunday / Holiday"/>
    <x v="98"/>
    <n v="11165.421000000011"/>
    <n v="67565.414484905661"/>
    <n v="11652"/>
    <n v="1016.1600000000001"/>
    <m/>
    <n v="0.14181763639661429"/>
  </r>
  <r>
    <x v="4"/>
    <n v="539"/>
    <x v="5"/>
    <s v="Sunday / Holiday"/>
    <x v="99"/>
    <n v="15899.647000000028"/>
    <n v="73530.025421625949"/>
    <n v="13850"/>
    <n v="1145.5"/>
    <m/>
    <n v="0.17778939103164107"/>
  </r>
  <r>
    <x v="4"/>
    <n v="540"/>
    <x v="5"/>
    <s v="Sunday / Holiday"/>
    <x v="100"/>
    <n v="15942.680000000015"/>
    <n v="32651.948030243169"/>
    <n v="11032"/>
    <n v="609"/>
    <m/>
    <n v="0.32807494668089615"/>
  </r>
  <r>
    <x v="4"/>
    <n v="219"/>
    <x v="5"/>
    <s v="Weekday"/>
    <x v="101"/>
    <n v="161076.90900000086"/>
    <n v="872143.74587563239"/>
    <n v="129786"/>
    <n v="13284.612000000001"/>
    <m/>
    <n v="0.15589787935413404"/>
  </r>
  <r>
    <x v="4"/>
    <n v="223"/>
    <x v="5"/>
    <s v="Weekday"/>
    <x v="102"/>
    <n v="38680.283999999985"/>
    <n v="188640.93053261156"/>
    <n v="30802"/>
    <n v="2686.6880000000001"/>
    <m/>
    <n v="0.17015694764577682"/>
  </r>
  <r>
    <x v="4"/>
    <n v="225"/>
    <x v="5"/>
    <s v="Weekday"/>
    <x v="103"/>
    <n v="25387.433999999983"/>
    <n v="177980.52882948806"/>
    <n v="23653"/>
    <n v="2302.3000000000002"/>
    <m/>
    <n v="0.1248349722679075"/>
  </r>
  <r>
    <x v="4"/>
    <n v="227"/>
    <x v="5"/>
    <s v="Weekday"/>
    <x v="104"/>
    <n v="28870.000000000004"/>
    <n v="190644.78577991069"/>
    <n v="23225"/>
    <n v="2378.1999999999998"/>
    <m/>
    <n v="0.13151733673623955"/>
  </r>
  <r>
    <x v="4"/>
    <n v="537"/>
    <x v="5"/>
    <s v="Weekday"/>
    <x v="105"/>
    <n v="19824.342000000011"/>
    <n v="152110.10219894774"/>
    <n v="17578"/>
    <n v="1505.35"/>
    <m/>
    <n v="0.11530174824691315"/>
  </r>
  <r>
    <x v="4"/>
    <n v="538"/>
    <x v="5"/>
    <s v="Weekday"/>
    <x v="106"/>
    <n v="111615.1299999995"/>
    <n v="498719.17204585479"/>
    <n v="106301"/>
    <n v="7493.8600000000006"/>
    <m/>
    <n v="0.18287540062202481"/>
  </r>
  <r>
    <x v="4"/>
    <n v="539"/>
    <x v="5"/>
    <s v="Weekday"/>
    <x v="107"/>
    <n v="256351.14900000527"/>
    <n v="799832.48130566231"/>
    <n v="228448"/>
    <n v="12954.358999999999"/>
    <m/>
    <n v="0.24271456368417232"/>
  </r>
  <r>
    <x v="4"/>
    <n v="540"/>
    <x v="5"/>
    <s v="Weekday"/>
    <x v="108"/>
    <n v="204592.85300000312"/>
    <n v="627702.45659711992"/>
    <n v="166029"/>
    <n v="10946.2"/>
    <m/>
    <n v="0.24581762103049382"/>
  </r>
  <r>
    <x v="4"/>
    <n v="542"/>
    <x v="5"/>
    <s v="Weekday"/>
    <x v="109"/>
    <n v="59166.355999999731"/>
    <n v="251393.63055070926"/>
    <n v="46687"/>
    <n v="4000.3"/>
    <m/>
    <n v="0.19051506492237338"/>
  </r>
  <r>
    <x v="4"/>
    <n v="604"/>
    <x v="5"/>
    <s v="Weekday"/>
    <x v="110"/>
    <n v="10150.398000000012"/>
    <n v="130946.66470877707"/>
    <n v="11407"/>
    <n v="1733.05"/>
    <m/>
    <n v="7.193911627310294E-2"/>
  </r>
  <r>
    <x v="4"/>
    <n v="614"/>
    <x v="5"/>
    <s v="Weekday"/>
    <x v="111"/>
    <n v="11812.487000000005"/>
    <n v="168104.97406206391"/>
    <n v="8139"/>
    <n v="2454.1"/>
    <m/>
    <n v="6.5655033870921489E-2"/>
  </r>
  <r>
    <x v="4"/>
    <n v="615"/>
    <x v="5"/>
    <s v="Weekday"/>
    <x v="112"/>
    <n v="53074.019999999786"/>
    <n v="279840.30091076042"/>
    <n v="40624"/>
    <n v="5439.5"/>
    <m/>
    <n v="0.15942245997349755"/>
  </r>
  <r>
    <x v="4"/>
    <n v="705"/>
    <x v="5"/>
    <s v="Weekday"/>
    <x v="113"/>
    <n v="74868.914999999572"/>
    <n v="393831.5384860335"/>
    <n v="67419"/>
    <n v="5667.2"/>
    <m/>
    <n v="0.15973723610282492"/>
  </r>
  <r>
    <x v="4"/>
    <n v="716"/>
    <x v="5"/>
    <s v="Weekday"/>
    <x v="114"/>
    <n v="43236.195999999836"/>
    <n v="160077.79706647096"/>
    <n v="34751"/>
    <n v="3036"/>
    <m/>
    <n v="0.21265725662996712"/>
  </r>
  <r>
    <x v="4"/>
    <n v="717"/>
    <x v="5"/>
    <s v="Weekday"/>
    <x v="115"/>
    <n v="59300.00099999964"/>
    <n v="158603.05780866728"/>
    <n v="59814"/>
    <n v="3440.8"/>
    <m/>
    <n v="0.27213936933335525"/>
  </r>
  <r>
    <x v="4"/>
    <n v="801"/>
    <x v="5"/>
    <s v="Weekday"/>
    <x v="116"/>
    <n v="78426.598999999464"/>
    <n v="353732.63639605558"/>
    <n v="71127"/>
    <n v="4440.1499999999996"/>
    <m/>
    <n v="0.18147616104541864"/>
  </r>
  <r>
    <x v="4"/>
    <n v="805"/>
    <x v="5"/>
    <s v="Weekday"/>
    <x v="117"/>
    <n v="94726.23799999959"/>
    <n v="455880.85047054401"/>
    <n v="67708"/>
    <n v="6013.0510000000004"/>
    <m/>
    <n v="0.17203962677474186"/>
  </r>
  <r>
    <x v="4"/>
    <n v="831"/>
    <x v="5"/>
    <s v="Weekday"/>
    <x v="118"/>
    <n v="23037.654000000031"/>
    <n v="231929.29814362992"/>
    <n v="22388"/>
    <n v="2635.5009999999997"/>
    <m/>
    <n v="9.0355451192052072E-2"/>
  </r>
  <r>
    <x v="4"/>
    <n v="16"/>
    <x v="6"/>
    <s v="Saturday"/>
    <x v="119"/>
    <n v="1061.6920000000027"/>
    <n v="16313.276545454544"/>
    <n v="1830"/>
    <n v="155.1"/>
    <m/>
    <n v="6.1104686159431994E-2"/>
  </r>
  <r>
    <x v="4"/>
    <n v="30"/>
    <x v="6"/>
    <s v="Saturday"/>
    <x v="120"/>
    <n v="16127.966000000039"/>
    <n v="107146.54527390885"/>
    <n v="18477"/>
    <n v="1647"/>
    <m/>
    <n v="0.13082968923044133"/>
  </r>
  <r>
    <x v="4"/>
    <n v="80"/>
    <x v="6"/>
    <s v="Saturday"/>
    <x v="121"/>
    <n v="13620.547000000013"/>
    <n v="49792.884966057674"/>
    <n v="16439"/>
    <n v="732.78000000000009"/>
    <m/>
    <n v="0.21478962071143648"/>
  </r>
  <r>
    <x v="4"/>
    <n v="83"/>
    <x v="6"/>
    <s v="Saturday"/>
    <x v="122"/>
    <n v="14980.092000000037"/>
    <n v="108066.5736899008"/>
    <n v="15359"/>
    <n v="1904.5799999999997"/>
    <m/>
    <n v="0.12174317699719303"/>
  </r>
  <r>
    <x v="4"/>
    <n v="84"/>
    <x v="6"/>
    <s v="Saturday"/>
    <x v="123"/>
    <n v="1449.975000000004"/>
    <n v="14511.303190082641"/>
    <n v="1805"/>
    <n v="143.15"/>
    <m/>
    <n v="9.0843288534431355E-2"/>
  </r>
  <r>
    <x v="4"/>
    <n v="87"/>
    <x v="6"/>
    <s v="Saturday"/>
    <x v="124"/>
    <n v="21102.920000000049"/>
    <n v="161427.63473042083"/>
    <n v="22016"/>
    <n v="2144.8799999999997"/>
    <m/>
    <n v="0.11561308204627396"/>
  </r>
  <r>
    <x v="4"/>
    <n v="16"/>
    <x v="6"/>
    <s v="Sunday / Holiday"/>
    <x v="125"/>
    <n v="720.78700000000129"/>
    <n v="18915.532249586777"/>
    <n v="1163"/>
    <n v="171.17999999999998"/>
    <m/>
    <n v="3.6706828343869458E-2"/>
  </r>
  <r>
    <x v="4"/>
    <n v="30"/>
    <x v="6"/>
    <s v="Sunday / Holiday"/>
    <x v="126"/>
    <n v="14739.707000000035"/>
    <n v="117665.87918308731"/>
    <n v="16224"/>
    <n v="1769"/>
    <m/>
    <n v="0.1113223952622234"/>
  </r>
  <r>
    <x v="4"/>
    <n v="80"/>
    <x v="6"/>
    <s v="Sunday / Holiday"/>
    <x v="127"/>
    <n v="9295.1319999999996"/>
    <n v="27521.098827874353"/>
    <n v="10070"/>
    <n v="425.14000000000004"/>
    <m/>
    <n v="0.25247375385756377"/>
  </r>
  <r>
    <x v="4"/>
    <n v="83"/>
    <x v="6"/>
    <s v="Sunday / Holiday"/>
    <x v="128"/>
    <n v="13853.04800000003"/>
    <n v="118308.29662989346"/>
    <n v="14140"/>
    <n v="2045.6599999999999"/>
    <m/>
    <n v="0.10481921199269198"/>
  </r>
  <r>
    <x v="4"/>
    <n v="84"/>
    <x v="6"/>
    <s v="Sunday / Holiday"/>
    <x v="129"/>
    <n v="907.88100000000168"/>
    <n v="13274.952150413223"/>
    <n v="1110"/>
    <n v="126.47999999999999"/>
    <m/>
    <n v="6.4012668722225649E-2"/>
  </r>
  <r>
    <x v="4"/>
    <n v="87"/>
    <x v="6"/>
    <s v="Sunday / Holiday"/>
    <x v="130"/>
    <n v="16740.027000000056"/>
    <n v="179932.93910930472"/>
    <n v="16903"/>
    <n v="2324.6400000000003"/>
    <m/>
    <n v="8.5116054998105151E-2"/>
  </r>
  <r>
    <x v="4"/>
    <n v="16"/>
    <x v="6"/>
    <s v="Weekday"/>
    <x v="131"/>
    <n v="5546.8319999999758"/>
    <n v="62615.679626446312"/>
    <n v="8246"/>
    <n v="653.22"/>
    <m/>
    <n v="8.1376578820899367E-2"/>
  </r>
  <r>
    <x v="4"/>
    <n v="27"/>
    <x v="6"/>
    <s v="Weekday"/>
    <x v="132"/>
    <n v="16034.195000000062"/>
    <n v="182805.34529937562"/>
    <n v="20552"/>
    <n v="2788.06"/>
    <m/>
    <n v="8.0638865770151877E-2"/>
  </r>
  <r>
    <x v="4"/>
    <n v="30"/>
    <x v="6"/>
    <s v="Weekday"/>
    <x v="133"/>
    <n v="157690.41700000194"/>
    <n v="583213.34498727787"/>
    <n v="154565"/>
    <n v="9689.9"/>
    <m/>
    <n v="0.21283522245458544"/>
  </r>
  <r>
    <x v="4"/>
    <n v="80"/>
    <x v="6"/>
    <s v="Weekday"/>
    <x v="134"/>
    <n v="96714.173999999417"/>
    <n v="205997.19823541824"/>
    <n v="98052"/>
    <n v="3526.0610000000001"/>
    <m/>
    <n v="0.31949303154948905"/>
  </r>
  <r>
    <x v="4"/>
    <n v="83"/>
    <x v="6"/>
    <s v="Weekday"/>
    <x v="135"/>
    <n v="114548.83800000108"/>
    <n v="485937.67363716377"/>
    <n v="106379"/>
    <n v="9500.15"/>
    <m/>
    <n v="0.19076005169157825"/>
  </r>
  <r>
    <x v="4"/>
    <n v="84"/>
    <x v="6"/>
    <s v="Weekday"/>
    <x v="136"/>
    <n v="8747.3270000000048"/>
    <n v="63426.40786776859"/>
    <n v="10032"/>
    <n v="680.51666666666665"/>
    <m/>
    <n v="0.12119820341882284"/>
  </r>
  <r>
    <x v="4"/>
    <n v="87"/>
    <x v="6"/>
    <s v="Weekday"/>
    <x v="137"/>
    <n v="259128.70100000841"/>
    <n v="832531.10081111395"/>
    <n v="227554"/>
    <n v="12940.95"/>
    <m/>
    <n v="0.23737129513251284"/>
  </r>
  <r>
    <x v="5"/>
    <n v="2"/>
    <x v="7"/>
    <s v="Weekday"/>
    <x v="138"/>
    <n v="1180598.2243872117"/>
    <n v="4849061.7432823014"/>
    <n v="1448128.3411701326"/>
    <n v="34245.459999999934"/>
    <m/>
    <n v="0.19579847465984346"/>
  </r>
  <r>
    <x v="5"/>
    <n v="3"/>
    <x v="7"/>
    <s v="Weekday"/>
    <x v="139"/>
    <n v="1600583.8250722014"/>
    <n v="6734111.2661693208"/>
    <n v="1622310.3971839733"/>
    <n v="45503.829999999813"/>
    <m/>
    <n v="0.19203867778608577"/>
  </r>
  <r>
    <x v="5"/>
    <n v="4"/>
    <x v="7"/>
    <s v="Weekday"/>
    <x v="140"/>
    <n v="1743602.6502952415"/>
    <n v="6729130.7407930391"/>
    <n v="1382841.9665109983"/>
    <n v="45790.789999999797"/>
    <m/>
    <n v="0.20578986376807076"/>
  </r>
  <r>
    <x v="5"/>
    <n v="5"/>
    <x v="7"/>
    <s v="Weekday"/>
    <x v="141"/>
    <n v="3117375.8774933401"/>
    <n v="9701088.012533199"/>
    <n v="3476014.0037711198"/>
    <n v="71385.460000000006"/>
    <m/>
    <n v="0.2431941849068848"/>
  </r>
  <r>
    <x v="5"/>
    <n v="6"/>
    <x v="7"/>
    <s v="Weekday"/>
    <x v="142"/>
    <n v="2334586.0589800295"/>
    <n v="8083081.8255703188"/>
    <n v="2027757.0399372163"/>
    <n v="55663.519999999939"/>
    <m/>
    <n v="0.22409872198385944"/>
  </r>
  <r>
    <x v="5"/>
    <n v="7"/>
    <x v="7"/>
    <s v="Weekday"/>
    <x v="143"/>
    <n v="423037.74372474942"/>
    <n v="2923085.6724002408"/>
    <n v="414414.96171261487"/>
    <n v="18936.200000000023"/>
    <m/>
    <n v="0.126426222561346"/>
  </r>
  <r>
    <x v="5"/>
    <n v="9"/>
    <x v="7"/>
    <s v="Weekday"/>
    <x v="144"/>
    <n v="673915.65936088469"/>
    <n v="3682184.7982263966"/>
    <n v="631495.78793264914"/>
    <n v="23429.679999999902"/>
    <m/>
    <n v="0.15470617951133001"/>
  </r>
  <r>
    <x v="5"/>
    <n v="10"/>
    <x v="7"/>
    <s v="Weekday"/>
    <x v="145"/>
    <n v="1513812.1850152249"/>
    <n v="6797990.8890362903"/>
    <n v="1637923.5289184712"/>
    <n v="46708.960000000116"/>
    <m/>
    <n v="0.18212801380499147"/>
  </r>
  <r>
    <x v="5"/>
    <n v="11"/>
    <x v="7"/>
    <s v="Weekday"/>
    <x v="146"/>
    <n v="1163903.3627525098"/>
    <n v="4698100.4600388538"/>
    <n v="1034385.5366036745"/>
    <n v="33264.919999999896"/>
    <m/>
    <n v="0.19855042711287135"/>
  </r>
  <r>
    <x v="5"/>
    <n v="12"/>
    <x v="7"/>
    <s v="Weekday"/>
    <x v="147"/>
    <n v="456907.80531504081"/>
    <n v="1535524.1515784315"/>
    <n v="331528.02770781505"/>
    <n v="10514.229999999969"/>
    <m/>
    <n v="0.22932166076448349"/>
  </r>
  <r>
    <x v="5"/>
    <n v="14"/>
    <x v="7"/>
    <s v="Weekday"/>
    <x v="148"/>
    <n v="1274032.8524907953"/>
    <n v="5717574.5125973988"/>
    <n v="1217587.7755542144"/>
    <n v="38569.950000000026"/>
    <m/>
    <n v="0.18222316928901575"/>
  </r>
  <r>
    <x v="5"/>
    <n v="16"/>
    <x v="6"/>
    <s v="Weekday"/>
    <x v="149"/>
    <n v="116078.49247705277"/>
    <n v="1860381.1703296953"/>
    <n v="170545.35392367683"/>
    <n v="10610.810000000014"/>
    <m/>
    <n v="5.8730514293527755E-2"/>
  </r>
  <r>
    <x v="5"/>
    <n v="17"/>
    <x v="7"/>
    <s v="Weekday"/>
    <x v="150"/>
    <n v="1402319.8781011661"/>
    <n v="4961898.8005765071"/>
    <n v="1263729.0816228872"/>
    <n v="34088.840000000193"/>
    <m/>
    <n v="0.22034438929627309"/>
  </r>
  <r>
    <x v="5"/>
    <n v="18"/>
    <x v="7"/>
    <s v="Weekday"/>
    <x v="151"/>
    <n v="1958612.6996716254"/>
    <n v="7862411.9613344437"/>
    <n v="2308185.5653439043"/>
    <n v="53329.889999999919"/>
    <m/>
    <n v="0.19943058563412511"/>
  </r>
  <r>
    <x v="5"/>
    <n v="19"/>
    <x v="7"/>
    <s v="Weekday"/>
    <x v="152"/>
    <n v="1410539.885063787"/>
    <n v="5566965.3813709533"/>
    <n v="1514187.4890914378"/>
    <n v="35110.039999999964"/>
    <m/>
    <n v="0.20215533076688358"/>
  </r>
  <r>
    <x v="5"/>
    <n v="20"/>
    <x v="6"/>
    <s v="Weekday"/>
    <x v="153"/>
    <n v="8328.7716448712199"/>
    <n v="176876.95714500939"/>
    <n v="13152.704650108397"/>
    <n v="469.2"/>
    <m/>
    <n v="4.4970378072485911E-2"/>
  </r>
  <r>
    <x v="5"/>
    <n v="21"/>
    <x v="7"/>
    <s v="Weekday"/>
    <x v="154"/>
    <n v="2161467.9933571541"/>
    <n v="8628086.8779641017"/>
    <n v="2808846.1722330106"/>
    <n v="59311.149999999936"/>
    <m/>
    <n v="0.20032967245964498"/>
  </r>
  <r>
    <x v="5"/>
    <n v="22"/>
    <x v="7"/>
    <s v="Weekday"/>
    <x v="155"/>
    <n v="1391058.5187104268"/>
    <n v="6149038.6629452575"/>
    <n v="1386876.9839470331"/>
    <n v="43373.860000000052"/>
    <m/>
    <n v="0.18448814188956814"/>
  </r>
  <r>
    <x v="5"/>
    <n v="23"/>
    <x v="6"/>
    <s v="Weekday"/>
    <x v="156"/>
    <n v="374580.90209812421"/>
    <n v="2459368.8674581544"/>
    <n v="371878.20206816337"/>
    <n v="14844.519999999988"/>
    <m/>
    <n v="0.13217626724441683"/>
  </r>
  <r>
    <x v="5"/>
    <n v="25"/>
    <x v="7"/>
    <s v="Weekday"/>
    <x v="157"/>
    <n v="316682.67529960966"/>
    <n v="1771844.3234174079"/>
    <n v="229364.29061014342"/>
    <n v="11314.949999999957"/>
    <m/>
    <n v="0.15162967751632989"/>
  </r>
  <r>
    <x v="5"/>
    <n v="32"/>
    <x v="6"/>
    <s v="Weekday"/>
    <x v="158"/>
    <n v="407566.91404829116"/>
    <n v="1697855.1001788084"/>
    <n v="397355.86229024245"/>
    <n v="10562.209999999974"/>
    <m/>
    <n v="0.19357967727810091"/>
  </r>
  <r>
    <x v="5"/>
    <n v="39"/>
    <x v="6"/>
    <s v="Weekday"/>
    <x v="159"/>
    <n v="31984.016827110099"/>
    <n v="188894.31470954453"/>
    <n v="27871.701415489952"/>
    <n v="682.08999999999878"/>
    <m/>
    <n v="0.14480377773861611"/>
  </r>
  <r>
    <x v="5"/>
    <n v="46"/>
    <x v="6"/>
    <s v="Weekday"/>
    <x v="160"/>
    <n v="302406.47170121007"/>
    <n v="2576256.0952919959"/>
    <n v="282387.94647009933"/>
    <n v="15180.009999999918"/>
    <m/>
    <n v="0.1050510313951374"/>
  </r>
  <r>
    <x v="5"/>
    <n v="53"/>
    <x v="0"/>
    <s v="Weekday"/>
    <x v="161"/>
    <n v="246213.65911984246"/>
    <n v="604663.38157173875"/>
    <n v="181851.70098094665"/>
    <n v="4114.4899999999861"/>
    <m/>
    <n v="0.28936455838522024"/>
  </r>
  <r>
    <x v="5"/>
    <n v="54"/>
    <x v="7"/>
    <s v="Weekday"/>
    <x v="162"/>
    <n v="1160368.1008092971"/>
    <n v="5118855.6959990617"/>
    <n v="1155359.3009982756"/>
    <n v="34157.409999999953"/>
    <m/>
    <n v="0.18479483107435918"/>
  </r>
  <r>
    <x v="5"/>
    <n v="59"/>
    <x v="7"/>
    <s v="Weekday"/>
    <x v="163"/>
    <n v="221579.80497738809"/>
    <n v="720216.23664729961"/>
    <n v="138883.43304513514"/>
    <n v="4235.6599999999835"/>
    <m/>
    <n v="0.23527366349421247"/>
  </r>
  <r>
    <x v="5"/>
    <n v="61"/>
    <x v="7"/>
    <s v="Weekday"/>
    <x v="164"/>
    <n v="714683.08771698887"/>
    <n v="3139620.5576691017"/>
    <n v="620602.27813490166"/>
    <n v="21756.000000000073"/>
    <m/>
    <n v="0.18542469755140378"/>
  </r>
  <r>
    <x v="5"/>
    <n v="62"/>
    <x v="7"/>
    <s v="Weekday"/>
    <x v="165"/>
    <n v="591695.69637379854"/>
    <n v="3647649.5604266427"/>
    <n v="639637.39509343007"/>
    <n v="22834.660000000058"/>
    <m/>
    <n v="0.13957242463907474"/>
  </r>
  <r>
    <x v="5"/>
    <n v="63"/>
    <x v="7"/>
    <s v="Weekday"/>
    <x v="166"/>
    <n v="1033073.0309554563"/>
    <n v="4420702.8824795997"/>
    <n v="1023116.5316100802"/>
    <n v="31867.579999999856"/>
    <m/>
    <n v="0.18942344668224115"/>
  </r>
  <r>
    <x v="5"/>
    <n v="64"/>
    <x v="7"/>
    <s v="Weekday"/>
    <x v="167"/>
    <n v="1069064.6575304514"/>
    <n v="4967904.1989097064"/>
    <n v="1106637.2434178148"/>
    <n v="32159.050000000112"/>
    <m/>
    <n v="0.17708632973814128"/>
  </r>
  <r>
    <x v="5"/>
    <n v="65"/>
    <x v="6"/>
    <s v="Weekday"/>
    <x v="168"/>
    <n v="227766.13287723821"/>
    <n v="2203394.4206600245"/>
    <n v="242456.83304655258"/>
    <n v="11839.339999999929"/>
    <m/>
    <n v="9.3686174919976231E-2"/>
  </r>
  <r>
    <x v="5"/>
    <n v="67"/>
    <x v="7"/>
    <s v="Weekday"/>
    <x v="169"/>
    <n v="294455.49829735036"/>
    <n v="2685016.1031263173"/>
    <n v="285247.72617990605"/>
    <n v="15835.399999999989"/>
    <m/>
    <n v="9.8828093597754713E-2"/>
  </r>
  <r>
    <x v="5"/>
    <n v="68"/>
    <x v="7"/>
    <s v="Weekday"/>
    <x v="170"/>
    <n v="727220.71499248559"/>
    <n v="4045278.7558222772"/>
    <n v="745908.75919539412"/>
    <n v="26305.199999999877"/>
    <m/>
    <n v="0.15237732752819649"/>
  </r>
  <r>
    <x v="5"/>
    <n v="70"/>
    <x v="7"/>
    <s v="Weekday"/>
    <x v="171"/>
    <n v="243455.91635698607"/>
    <n v="1558528.2639585135"/>
    <n v="211935.91966920329"/>
    <n v="9566.3499999999785"/>
    <m/>
    <n v="0.135104358304833"/>
  </r>
  <r>
    <x v="5"/>
    <n v="71"/>
    <x v="7"/>
    <s v="Weekday"/>
    <x v="172"/>
    <n v="371317.47380909807"/>
    <n v="3054158.6095801578"/>
    <n v="392869.62825146335"/>
    <n v="18363.239999999998"/>
    <m/>
    <n v="0.1083987932683818"/>
  </r>
  <r>
    <x v="5"/>
    <n v="74"/>
    <x v="7"/>
    <s v="Weekday"/>
    <x v="173"/>
    <n v="1066357.1896516674"/>
    <n v="4546452.7176564615"/>
    <n v="1056653.8539087635"/>
    <n v="31594.829999999896"/>
    <m/>
    <n v="0.18998633612430429"/>
  </r>
  <r>
    <x v="5"/>
    <n v="75"/>
    <x v="7"/>
    <s v="Weekday"/>
    <x v="174"/>
    <n v="178446.89112878"/>
    <n v="1317470.180518901"/>
    <n v="170156.37409372488"/>
    <n v="7885.9499999999643"/>
    <m/>
    <n v="0.11928929384583417"/>
  </r>
  <r>
    <x v="5"/>
    <n v="84"/>
    <x v="6"/>
    <s v="Weekday"/>
    <x v="175"/>
    <n v="157895.51757845131"/>
    <n v="1986734.5938506024"/>
    <n v="185030.96279108719"/>
    <n v="10605.02"/>
    <m/>
    <n v="7.3623659733677405E-2"/>
  </r>
  <r>
    <x v="5"/>
    <n v="94"/>
    <x v="0"/>
    <s v="Weekday"/>
    <x v="176"/>
    <n v="671619.38598318968"/>
    <n v="1950098.9556281092"/>
    <n v="505013.03186638199"/>
    <n v="12453.349999999946"/>
    <m/>
    <n v="0.25617526311785832"/>
  </r>
  <r>
    <x v="5"/>
    <n v="111"/>
    <x v="0"/>
    <s v="Weekday"/>
    <x v="177"/>
    <n v="29394.357841237565"/>
    <n v="104565.26578842217"/>
    <n v="16795.630417551667"/>
    <n v="554.56000000000063"/>
    <m/>
    <n v="0.21942699632017643"/>
  </r>
  <r>
    <x v="5"/>
    <n v="113"/>
    <x v="0"/>
    <s v="Weekday"/>
    <x v="178"/>
    <n v="127869.99676410937"/>
    <n v="350425.60958758311"/>
    <n v="89183.220852288621"/>
    <n v="1778.4800000000073"/>
    <m/>
    <n v="0.2673451210214256"/>
  </r>
  <r>
    <x v="5"/>
    <n v="114"/>
    <x v="0"/>
    <s v="Weekday"/>
    <x v="179"/>
    <n v="156447.87799978195"/>
    <n v="483889.16149900958"/>
    <n v="111062.55832742556"/>
    <n v="1952.139999999999"/>
    <m/>
    <n v="0.24432114394356724"/>
  </r>
  <r>
    <x v="5"/>
    <n v="115"/>
    <x v="0"/>
    <s v="Weekday"/>
    <x v="180"/>
    <n v="10092.509800885704"/>
    <n v="75763.212025261921"/>
    <n v="11474.386343809076"/>
    <n v="342.52999999999867"/>
    <m/>
    <n v="0.11755197657440228"/>
  </r>
  <r>
    <x v="5"/>
    <n v="118"/>
    <x v="0"/>
    <s v="Weekday"/>
    <x v="181"/>
    <n v="26235.781906010194"/>
    <n v="92606.887018923619"/>
    <n v="15857.929707480849"/>
    <n v="503.09999999999786"/>
    <m/>
    <n v="0.22076062531532217"/>
  </r>
  <r>
    <x v="5"/>
    <n v="129"/>
    <x v="6"/>
    <s v="Weekday"/>
    <x v="182"/>
    <n v="1787.875563970031"/>
    <n v="149432.55180022281"/>
    <n v="12511.665890347593"/>
    <n v="379.5"/>
    <m/>
    <n v="1.1822976532556593E-2"/>
  </r>
  <r>
    <x v="5"/>
    <n v="133"/>
    <x v="0"/>
    <s v="Weekday"/>
    <x v="183"/>
    <n v="124131.65472930628"/>
    <n v="447475.70259517449"/>
    <n v="67689.751368464014"/>
    <n v="2174.4900000000016"/>
    <m/>
    <n v="0.21716245100540446"/>
  </r>
  <r>
    <x v="5"/>
    <n v="134"/>
    <x v="0"/>
    <s v="Weekday"/>
    <x v="184"/>
    <n v="265157.16324071208"/>
    <n v="597367.34459805069"/>
    <n v="133418.00711442367"/>
    <n v="3411.5099999999975"/>
    <m/>
    <n v="0.30741985976157282"/>
  </r>
  <r>
    <x v="5"/>
    <n v="135"/>
    <x v="0"/>
    <s v="Weekday"/>
    <x v="185"/>
    <n v="144449.75203702497"/>
    <n v="329039.72707978974"/>
    <n v="70936.436349129566"/>
    <n v="1730.9699999999957"/>
    <m/>
    <n v="0.30507489270186666"/>
  </r>
  <r>
    <x v="5"/>
    <n v="141"/>
    <x v="7"/>
    <s v="Weekday"/>
    <x v="186"/>
    <n v="141847.99507788455"/>
    <n v="297357.7764301328"/>
    <n v="84768.559102220694"/>
    <n v="2302.1400000000026"/>
    <m/>
    <n v="0.32296477933531714"/>
  </r>
  <r>
    <x v="5"/>
    <n v="146"/>
    <x v="0"/>
    <s v="Weekday"/>
    <x v="187"/>
    <n v="201778.8472447235"/>
    <n v="655181.82917993178"/>
    <n v="94726.442748990448"/>
    <n v="3318.5899999999901"/>
    <m/>
    <n v="0.23545870049320061"/>
  </r>
  <r>
    <x v="5"/>
    <n v="156"/>
    <x v="0"/>
    <s v="Weekday"/>
    <x v="188"/>
    <n v="305983.74483223859"/>
    <n v="649181.44385324814"/>
    <n v="115334.07550007117"/>
    <n v="4265.1499999999869"/>
    <m/>
    <n v="0.32034641594647956"/>
  </r>
  <r>
    <x v="5"/>
    <n v="250"/>
    <x v="0"/>
    <s v="Weekday"/>
    <x v="189"/>
    <n v="1178497.4210856643"/>
    <n v="1551866.8989079052"/>
    <n v="428363.25977491826"/>
    <n v="10315.439999999955"/>
    <m/>
    <n v="0.43162643624365843"/>
  </r>
  <r>
    <x v="5"/>
    <n v="252"/>
    <x v="0"/>
    <s v="Weekday"/>
    <x v="190"/>
    <n v="42927.833688856423"/>
    <n v="91650.604606238805"/>
    <n v="20052.68819368261"/>
    <n v="506.15000000000026"/>
    <m/>
    <n v="0.31898002557235017"/>
  </r>
  <r>
    <x v="5"/>
    <n v="261"/>
    <x v="0"/>
    <s v="Weekday"/>
    <x v="191"/>
    <n v="264603.74925871426"/>
    <n v="373021.50686177099"/>
    <n v="92623.87710815687"/>
    <n v="2277"/>
    <m/>
    <n v="0.4149831687481258"/>
  </r>
  <r>
    <x v="5"/>
    <n v="262"/>
    <x v="7"/>
    <s v="Weekday"/>
    <x v="192"/>
    <n v="40790.648659634797"/>
    <n v="199242.05948778411"/>
    <n v="23081.544469575081"/>
    <n v="1029.1399999999996"/>
    <m/>
    <n v="0.16993787627718945"/>
  </r>
  <r>
    <x v="5"/>
    <n v="263"/>
    <x v="0"/>
    <s v="Weekday"/>
    <x v="193"/>
    <n v="211374.15961358708"/>
    <n v="283188.02157683705"/>
    <n v="74728.730371274389"/>
    <n v="1666.440000000001"/>
    <m/>
    <n v="0.42739652899622033"/>
  </r>
  <r>
    <x v="5"/>
    <n v="264"/>
    <x v="0"/>
    <s v="Weekday"/>
    <x v="194"/>
    <n v="362344.33874125831"/>
    <n v="601726.28055168665"/>
    <n v="142055.4338984499"/>
    <n v="3761.5700000000165"/>
    <m/>
    <n v="0.37584833671936169"/>
  </r>
  <r>
    <x v="5"/>
    <n v="265"/>
    <x v="0"/>
    <s v="Weekday"/>
    <x v="195"/>
    <n v="129715.88406118518"/>
    <n v="266893.43616568926"/>
    <n v="50090.229302344989"/>
    <n v="1839.3099999999963"/>
    <m/>
    <n v="0.32706211741817653"/>
  </r>
  <r>
    <x v="5"/>
    <n v="270"/>
    <x v="0"/>
    <s v="Weekday"/>
    <x v="196"/>
    <n v="963317.9513013782"/>
    <n v="1099543.3653808001"/>
    <n v="340371.87312160246"/>
    <n v="7490.4800000000196"/>
    <m/>
    <n v="0.46698144151092974"/>
  </r>
  <r>
    <x v="5"/>
    <n v="272"/>
    <x v="0"/>
    <s v="Weekday"/>
    <x v="197"/>
    <n v="24021.911336557943"/>
    <n v="141524.76310430415"/>
    <n v="10466.150624573638"/>
    <n v="648.15000000000077"/>
    <m/>
    <n v="0.14510657745129904"/>
  </r>
  <r>
    <x v="5"/>
    <n v="275"/>
    <x v="0"/>
    <s v="Weekday"/>
    <x v="198"/>
    <n v="273857.10851058754"/>
    <n v="430875.16021706752"/>
    <n v="103058.90934633436"/>
    <n v="2765.2899999999931"/>
    <m/>
    <n v="0.38859737330464156"/>
  </r>
  <r>
    <x v="5"/>
    <n v="288"/>
    <x v="0"/>
    <s v="Weekday"/>
    <x v="199"/>
    <n v="396927.03925204166"/>
    <n v="737838.79249818763"/>
    <n v="139538.99371854746"/>
    <n v="4260.520000000015"/>
    <m/>
    <n v="0.34978761974162825"/>
  </r>
  <r>
    <x v="5"/>
    <n v="294"/>
    <x v="0"/>
    <s v="Weekday"/>
    <x v="200"/>
    <n v="164547.83209057816"/>
    <n v="629506.89573335822"/>
    <n v="70717.570364809944"/>
    <n v="4143.6799999999985"/>
    <m/>
    <n v="0.20722479990958872"/>
  </r>
  <r>
    <x v="5"/>
    <n v="351"/>
    <x v="0"/>
    <s v="Weekday"/>
    <x v="201"/>
    <n v="186519.52721542286"/>
    <n v="244099.84702375959"/>
    <n v="73320.104747075078"/>
    <n v="1769.7200000000003"/>
    <m/>
    <n v="0.43314244173283012"/>
  </r>
  <r>
    <x v="5"/>
    <n v="353"/>
    <x v="0"/>
    <s v="Weekday"/>
    <x v="202"/>
    <n v="15755.854024078901"/>
    <n v="47463.627340457584"/>
    <n v="8122.9361289431272"/>
    <n v="201.7199999999996"/>
    <m/>
    <n v="0.24922466435982632"/>
  </r>
  <r>
    <x v="5"/>
    <n v="355"/>
    <x v="0"/>
    <s v="Weekday"/>
    <x v="203"/>
    <n v="707597.71454402036"/>
    <n v="671531.15286796866"/>
    <n v="249820.48054742953"/>
    <n v="5349.439999999985"/>
    <m/>
    <n v="0.51307584901175063"/>
  </r>
  <r>
    <x v="5"/>
    <n v="361"/>
    <x v="0"/>
    <s v="Weekday"/>
    <x v="204"/>
    <n v="134184.45585986896"/>
    <n v="327594.29949951434"/>
    <n v="51104.68869885966"/>
    <n v="1641.6900000000014"/>
    <m/>
    <n v="0.2905817002244695"/>
  </r>
  <r>
    <x v="5"/>
    <n v="365"/>
    <x v="0"/>
    <s v="Weekday"/>
    <x v="205"/>
    <n v="469615.12617848028"/>
    <n v="753007.26148279756"/>
    <n v="162455.61074022294"/>
    <n v="4171.1500000000133"/>
    <m/>
    <n v="0.38410479876521375"/>
  </r>
  <r>
    <x v="5"/>
    <n v="375"/>
    <x v="0"/>
    <s v="Weekday"/>
    <x v="206"/>
    <n v="490558.41552410985"/>
    <n v="457480.77850295999"/>
    <n v="168915.78775606482"/>
    <n v="3340.9400000000151"/>
    <m/>
    <n v="0.51744528983060445"/>
  </r>
  <r>
    <x v="5"/>
    <n v="415"/>
    <x v="5"/>
    <s v="Weekday"/>
    <x v="207"/>
    <n v="2070.9583820097164"/>
    <n v="60833.615075005691"/>
    <n v="3053.7509850093943"/>
    <n v="270.70999999999873"/>
    <m/>
    <n v="3.2922222792351734E-2"/>
  </r>
  <r>
    <x v="5"/>
    <n v="452"/>
    <x v="0"/>
    <s v="Weekday"/>
    <x v="208"/>
    <n v="86741.814650299129"/>
    <n v="183185.1424124327"/>
    <n v="31286.425682694753"/>
    <n v="1295.3599999999949"/>
    <m/>
    <n v="0.32135291559686668"/>
  </r>
  <r>
    <x v="5"/>
    <n v="467"/>
    <x v="0"/>
    <s v="Weekday"/>
    <x v="209"/>
    <n v="846560.0990867503"/>
    <n v="914238.52738480107"/>
    <n v="290882.22867670329"/>
    <n v="5792.1599999999808"/>
    <m/>
    <n v="0.48078189428348461"/>
  </r>
  <r>
    <x v="5"/>
    <n v="515"/>
    <x v="5"/>
    <s v="Weekday"/>
    <x v="210"/>
    <n v="334540.14240893041"/>
    <n v="2941852.4869274297"/>
    <n v="375224.46588529664"/>
    <n v="15885.500000000018"/>
    <m/>
    <n v="0.10210624313261632"/>
  </r>
  <r>
    <x v="5"/>
    <n v="535"/>
    <x v="0"/>
    <s v="Weekday"/>
    <x v="211"/>
    <n v="576140.50284665648"/>
    <n v="3139125.113222098"/>
    <n v="366046.61645752384"/>
    <n v="18712.449999999943"/>
    <m/>
    <n v="0.15507383923098608"/>
  </r>
  <r>
    <x v="5"/>
    <n v="552"/>
    <x v="0"/>
    <s v="Weekday"/>
    <x v="212"/>
    <n v="120431.07983524525"/>
    <n v="433271.90650265233"/>
    <n v="44282.501121275833"/>
    <n v="2205.3700000000035"/>
    <m/>
    <n v="0.21750122864923851"/>
  </r>
  <r>
    <x v="5"/>
    <n v="553"/>
    <x v="0"/>
    <s v="Weekday"/>
    <x v="213"/>
    <n v="138897.5042828657"/>
    <n v="493806.11253186257"/>
    <n v="53221.776253344768"/>
    <n v="2460.9599999999991"/>
    <m/>
    <n v="0.21953012530911203"/>
  </r>
  <r>
    <x v="5"/>
    <n v="554"/>
    <x v="0"/>
    <s v="Weekday"/>
    <x v="214"/>
    <n v="165914.65915910376"/>
    <n v="520129.40667241311"/>
    <n v="74726.655812181314"/>
    <n v="3117.9599999999846"/>
    <m/>
    <n v="0.24184256875395838"/>
  </r>
  <r>
    <x v="5"/>
    <n v="558"/>
    <x v="0"/>
    <s v="Weekday"/>
    <x v="215"/>
    <n v="96851.964076723874"/>
    <n v="472849.44407821517"/>
    <n v="38029.780014741649"/>
    <n v="2360.4999999999955"/>
    <m/>
    <n v="0.17000478266394506"/>
  </r>
  <r>
    <x v="5"/>
    <n v="578"/>
    <x v="0"/>
    <s v="Weekday"/>
    <x v="216"/>
    <n v="263110.16665091686"/>
    <n v="580353.47434875579"/>
    <n v="99808.075247482659"/>
    <n v="3532.4900000000162"/>
    <m/>
    <n v="0.31194014046542518"/>
  </r>
  <r>
    <x v="5"/>
    <n v="579"/>
    <x v="0"/>
    <s v="Weekday"/>
    <x v="217"/>
    <n v="40751.086335762644"/>
    <n v="152298.46212443136"/>
    <n v="20954.084119624582"/>
    <n v="559.90000000000089"/>
    <m/>
    <n v="0.2110913320481832"/>
  </r>
  <r>
    <x v="5"/>
    <n v="587"/>
    <x v="0"/>
    <s v="Weekday"/>
    <x v="218"/>
    <n v="166735.62372249397"/>
    <n v="260253.37114613564"/>
    <n v="58783.669181884296"/>
    <n v="1769.0200000000032"/>
    <m/>
    <n v="0.39049161858092618"/>
  </r>
  <r>
    <x v="5"/>
    <n v="588"/>
    <x v="0"/>
    <s v="Weekday"/>
    <x v="219"/>
    <n v="15507.396776303656"/>
    <n v="166518.99977694231"/>
    <n v="9253.5708346701103"/>
    <n v="809.60000000000286"/>
    <m/>
    <n v="8.5193120722836857E-2"/>
  </r>
  <r>
    <x v="5"/>
    <n v="589"/>
    <x v="0"/>
    <s v="Weekday"/>
    <x v="220"/>
    <n v="122277.88423674619"/>
    <n v="343814.69691256923"/>
    <n v="44277.314723543139"/>
    <n v="2231.4599999999987"/>
    <m/>
    <n v="0.26234677225547554"/>
  </r>
  <r>
    <x v="5"/>
    <n v="597"/>
    <x v="0"/>
    <s v="Weekday"/>
    <x v="221"/>
    <n v="357446.30840442289"/>
    <n v="717005.72062140587"/>
    <n v="131302.99411903165"/>
    <n v="4408.9600000000137"/>
    <m/>
    <n v="0.3326777731794206"/>
  </r>
  <r>
    <x v="5"/>
    <n v="612"/>
    <x v="5"/>
    <s v="Weekday"/>
    <x v="222"/>
    <n v="127212.69631488824"/>
    <n v="1134979.4513417045"/>
    <n v="155729.89016046718"/>
    <n v="6791.3100000000031"/>
    <m/>
    <n v="0.1007871080097222"/>
  </r>
  <r>
    <x v="5"/>
    <n v="643"/>
    <x v="0"/>
    <s v="Weekday"/>
    <x v="223"/>
    <n v="32462.120925514955"/>
    <n v="255099.67895841156"/>
    <n v="28360.260081909597"/>
    <n v="1277.649999999994"/>
    <m/>
    <n v="0.11288745910833148"/>
  </r>
  <r>
    <x v="5"/>
    <n v="645"/>
    <x v="0"/>
    <s v="Weekday"/>
    <x v="224"/>
    <n v="515340.78204485832"/>
    <n v="2878168.7108717286"/>
    <n v="373026.47052618151"/>
    <n v="18005.15999999992"/>
    <m/>
    <n v="0.15186071620561267"/>
  </r>
  <r>
    <x v="5"/>
    <n v="652"/>
    <x v="0"/>
    <s v="Weekday"/>
    <x v="225"/>
    <n v="79892.166583884085"/>
    <n v="128443.47925625484"/>
    <n v="35499.855200734208"/>
    <n v="901.69999999999516"/>
    <m/>
    <n v="0.38347814298272948"/>
  </r>
  <r>
    <x v="5"/>
    <n v="663"/>
    <x v="0"/>
    <s v="Weekday"/>
    <x v="226"/>
    <n v="337801.19012902334"/>
    <n v="236220.91953435441"/>
    <n v="124212.15113889433"/>
    <n v="2311.8199999999852"/>
    <m/>
    <n v="0.58848114809918939"/>
  </r>
  <r>
    <x v="5"/>
    <n v="664"/>
    <x v="0"/>
    <s v="Weekday"/>
    <x v="227"/>
    <n v="126788.34038965523"/>
    <n v="322087.44162355759"/>
    <n v="49723.032342870356"/>
    <n v="1774.6"/>
    <m/>
    <n v="0.28245752047706413"/>
  </r>
  <r>
    <x v="5"/>
    <n v="667"/>
    <x v="0"/>
    <s v="Weekday"/>
    <x v="228"/>
    <n v="285129.02435864648"/>
    <n v="485958.05337174784"/>
    <n v="104929.1243687433"/>
    <n v="3117.9799999999873"/>
    <m/>
    <n v="0.36977538930867676"/>
  </r>
  <r>
    <x v="5"/>
    <n v="668"/>
    <x v="0"/>
    <s v="Weekday"/>
    <x v="229"/>
    <n v="90146.125789316444"/>
    <n v="196545.20813189831"/>
    <n v="33534.210460043716"/>
    <n v="1345.8799999999949"/>
    <m/>
    <n v="0.31443617271699387"/>
  </r>
  <r>
    <x v="5"/>
    <n v="672"/>
    <x v="0"/>
    <s v="Weekday"/>
    <x v="230"/>
    <n v="142344.38272621203"/>
    <n v="547350.68963136966"/>
    <n v="59257.705934652397"/>
    <n v="3124.5499999999861"/>
    <m/>
    <n v="0.20638741442596775"/>
  </r>
  <r>
    <x v="5"/>
    <n v="673"/>
    <x v="0"/>
    <s v="Weekday"/>
    <x v="231"/>
    <n v="458210.08384232392"/>
    <n v="315020.84291787719"/>
    <n v="160492.04055862551"/>
    <n v="2879.5400000000091"/>
    <m/>
    <n v="0.59259151177799008"/>
  </r>
  <r>
    <x v="5"/>
    <n v="674"/>
    <x v="0"/>
    <s v="Weekday"/>
    <x v="232"/>
    <n v="73978.813840536939"/>
    <n v="230031.07985065028"/>
    <n v="26870.726653080288"/>
    <n v="1370.6900000000028"/>
    <m/>
    <n v="0.24334344169629069"/>
  </r>
  <r>
    <x v="5"/>
    <n v="677"/>
    <x v="0"/>
    <s v="Weekday"/>
    <x v="233"/>
    <n v="112180.45719511287"/>
    <n v="294530.66865906375"/>
    <n v="42850.018067506142"/>
    <n v="1673.2600000000048"/>
    <m/>
    <n v="0.27582342863011416"/>
  </r>
  <r>
    <x v="5"/>
    <n v="679"/>
    <x v="0"/>
    <s v="Weekday"/>
    <x v="234"/>
    <n v="5893.2935231545016"/>
    <n v="103313.7434891068"/>
    <n v="2649.2119618593729"/>
    <n v="465.51999999999759"/>
    <m/>
    <n v="5.3964411858302024E-2"/>
  </r>
  <r>
    <x v="5"/>
    <n v="721"/>
    <x v="5"/>
    <s v="Weekday"/>
    <x v="235"/>
    <n v="246663.04028816606"/>
    <n v="1060243.2799490532"/>
    <n v="235077.62635247756"/>
    <n v="7104.1400000000185"/>
    <m/>
    <n v="0.18873811876844679"/>
  </r>
  <r>
    <x v="5"/>
    <n v="722"/>
    <x v="5"/>
    <s v="Weekday"/>
    <x v="236"/>
    <n v="170984.02216413134"/>
    <n v="1113749.4810387008"/>
    <n v="203074.44050312473"/>
    <n v="6675.0599999999704"/>
    <m/>
    <n v="0.1330890972624823"/>
  </r>
  <r>
    <x v="5"/>
    <n v="723"/>
    <x v="5"/>
    <s v="Weekday"/>
    <x v="237"/>
    <n v="141727.708051739"/>
    <n v="936054.91901783156"/>
    <n v="163730.42730291878"/>
    <n v="5508.059999999974"/>
    <m/>
    <n v="0.13149934364509897"/>
  </r>
  <r>
    <x v="5"/>
    <n v="724"/>
    <x v="5"/>
    <s v="Weekday"/>
    <x v="238"/>
    <n v="459916.27857387526"/>
    <n v="2149406.5177169065"/>
    <n v="511737.71516659122"/>
    <n v="12672.339999999944"/>
    <m/>
    <n v="0.17625886656402107"/>
  </r>
  <r>
    <x v="5"/>
    <n v="755"/>
    <x v="0"/>
    <s v="Weekday"/>
    <x v="239"/>
    <n v="158592.77060874683"/>
    <n v="936963.58879581897"/>
    <n v="108535.74535205774"/>
    <n v="5569.7099999999909"/>
    <m/>
    <n v="0.14476002922838394"/>
  </r>
  <r>
    <x v="5"/>
    <n v="756"/>
    <x v="0"/>
    <s v="Weekday"/>
    <x v="240"/>
    <n v="145361.94897785754"/>
    <n v="164555.5620526821"/>
    <n v="50753.050932583101"/>
    <n v="1369.9000000000028"/>
    <m/>
    <n v="0.46903431979206039"/>
  </r>
  <r>
    <x v="5"/>
    <n v="758"/>
    <x v="0"/>
    <s v="Weekday"/>
    <x v="241"/>
    <n v="290877.8934476999"/>
    <n v="306285.13441554428"/>
    <n v="108774.31964776159"/>
    <n v="2360.4899999999916"/>
    <m/>
    <n v="0.48709963590430722"/>
  </r>
  <r>
    <x v="5"/>
    <n v="760"/>
    <x v="0"/>
    <s v="Weekday"/>
    <x v="242"/>
    <n v="298175.89825728274"/>
    <n v="425966.52380951372"/>
    <n v="124622.91383932359"/>
    <n v="3274.52000000001"/>
    <m/>
    <n v="0.41176416292012008"/>
  </r>
  <r>
    <x v="5"/>
    <n v="761"/>
    <x v="0"/>
    <s v="Weekday"/>
    <x v="243"/>
    <n v="141092.65226304281"/>
    <n v="318930.04459020495"/>
    <n v="63696.225114290719"/>
    <n v="1977.4599999999989"/>
    <m/>
    <n v="0.30670802381747025"/>
  </r>
  <r>
    <x v="5"/>
    <n v="762"/>
    <x v="0"/>
    <s v="Weekday"/>
    <x v="244"/>
    <n v="34398.850342830898"/>
    <n v="116117.50344646638"/>
    <n v="23145.855801460468"/>
    <n v="568.62"/>
    <m/>
    <n v="0.22853895591295467"/>
  </r>
  <r>
    <x v="5"/>
    <n v="763"/>
    <x v="0"/>
    <s v="Weekday"/>
    <x v="245"/>
    <n v="117665.6392490756"/>
    <n v="306622.57339085557"/>
    <n v="48676.417280412992"/>
    <n v="1972.8100000000068"/>
    <m/>
    <n v="0.27732478947967287"/>
  </r>
  <r>
    <x v="5"/>
    <n v="764"/>
    <x v="0"/>
    <s v="Weekday"/>
    <x v="246"/>
    <n v="130385.50688156554"/>
    <n v="180676.12370817951"/>
    <n v="51911.692186066626"/>
    <n v="1419.9999999999966"/>
    <m/>
    <n v="0.4191629376929783"/>
  </r>
  <r>
    <x v="5"/>
    <n v="765"/>
    <x v="0"/>
    <s v="Weekday"/>
    <x v="247"/>
    <n v="62503.427643685529"/>
    <n v="254403.93881886726"/>
    <n v="33453.30265541371"/>
    <n v="1193.3999999999976"/>
    <m/>
    <n v="0.19722933026572992"/>
  </r>
  <r>
    <x v="5"/>
    <n v="766"/>
    <x v="0"/>
    <s v="Weekday"/>
    <x v="248"/>
    <n v="321880.43292415835"/>
    <n v="1194296.6308698512"/>
    <n v="135159.59947306185"/>
    <n v="6571.1299999999665"/>
    <m/>
    <n v="0.2122973896720875"/>
  </r>
  <r>
    <x v="5"/>
    <n v="767"/>
    <x v="0"/>
    <s v="Weekday"/>
    <x v="249"/>
    <n v="97402.334052544553"/>
    <n v="320756.86311217758"/>
    <n v="40488.132540037936"/>
    <n v="1607.8699999999919"/>
    <m/>
    <n v="0.23293122502857597"/>
  </r>
  <r>
    <x v="5"/>
    <n v="768"/>
    <x v="0"/>
    <s v="Weekday"/>
    <x v="250"/>
    <n v="912410.42127858079"/>
    <n v="608249.6109805922"/>
    <n v="339431.06057289202"/>
    <n v="5466.1400000000031"/>
    <m/>
    <n v="0.60000947083685474"/>
  </r>
  <r>
    <x v="5"/>
    <n v="824"/>
    <x v="7"/>
    <s v="Weekday"/>
    <x v="251"/>
    <n v="80265.95493214317"/>
    <n v="201352.47387620574"/>
    <n v="40912.379874572194"/>
    <n v="1164.9000000000019"/>
    <m/>
    <n v="0.28501669891343273"/>
  </r>
  <r>
    <x v="5"/>
    <n v="825"/>
    <x v="7"/>
    <s v="Weekday"/>
    <x v="252"/>
    <n v="273539.40012228349"/>
    <n v="691918.73916493112"/>
    <n v="138891.73128150744"/>
    <n v="4634.1200000000035"/>
    <m/>
    <n v="0.2833260076135814"/>
  </r>
  <r>
    <x v="5"/>
    <n v="850"/>
    <x v="0"/>
    <s v="Weekday"/>
    <x v="253"/>
    <n v="1281070.5264772258"/>
    <n v="1193581.6968905029"/>
    <n v="463539.48375713249"/>
    <n v="9403.360000000017"/>
    <m/>
    <n v="0.51767699492489905"/>
  </r>
  <r>
    <x v="5"/>
    <n v="852"/>
    <x v="0"/>
    <s v="Weekday"/>
    <x v="254"/>
    <n v="345957.08758975373"/>
    <n v="1713210.5931116273"/>
    <n v="224124.99162057735"/>
    <n v="10857.350000000022"/>
    <m/>
    <n v="0.16800821556791137"/>
  </r>
  <r>
    <x v="5"/>
    <n v="854"/>
    <x v="0"/>
    <s v="Weekday"/>
    <x v="255"/>
    <n v="305386.31959426374"/>
    <n v="645709.81888005789"/>
    <n v="126064.73240901213"/>
    <n v="3812.180000000013"/>
    <m/>
    <n v="0.32108880189981848"/>
  </r>
  <r>
    <x v="5"/>
    <n v="860"/>
    <x v="0"/>
    <s v="Weekday"/>
    <x v="256"/>
    <n v="268782.223366149"/>
    <n v="678078.47250920092"/>
    <n v="125251.50524452592"/>
    <n v="3693.7999999999847"/>
    <m/>
    <n v="0.2838667023956109"/>
  </r>
  <r>
    <x v="5"/>
    <n v="865"/>
    <x v="0"/>
    <s v="Weekday"/>
    <x v="257"/>
    <n v="311742.63377495832"/>
    <n v="585044.95451709011"/>
    <n v="129000.23352571613"/>
    <n v="3229.419999999991"/>
    <m/>
    <n v="0.34762148567274331"/>
  </r>
  <r>
    <x v="5"/>
    <n v="921"/>
    <x v="8"/>
    <s v="Weekday"/>
    <x v="258"/>
    <n v="1406324.1759258409"/>
    <n v="4482373.9363887319"/>
    <n v="1232476"/>
    <n v="27165.830000000129"/>
    <m/>
    <n v="0.23881750246033251"/>
  </r>
  <r>
    <x v="5"/>
    <n v="2"/>
    <x v="7"/>
    <s v="Saturday"/>
    <x v="259"/>
    <n v="116567.63109785"/>
    <n v="782941.36657841178"/>
    <n v="160818.78361578516"/>
    <n v="5012.3199999999961"/>
    <m/>
    <n v="0.12959028914550483"/>
  </r>
  <r>
    <x v="5"/>
    <n v="3"/>
    <x v="7"/>
    <s v="Saturday"/>
    <x v="260"/>
    <n v="100224.47901019265"/>
    <n v="881450.72994252411"/>
    <n v="123263.04035381159"/>
    <n v="5338.3199999999961"/>
    <m/>
    <n v="0.10209535505853856"/>
  </r>
  <r>
    <x v="5"/>
    <n v="4"/>
    <x v="7"/>
    <s v="Saturday"/>
    <x v="261"/>
    <n v="147067.72418291651"/>
    <n v="1099852.0775307394"/>
    <n v="156183.1813223045"/>
    <n v="6860.06"/>
    <m/>
    <n v="0.11794481407769744"/>
  </r>
  <r>
    <x v="5"/>
    <n v="5"/>
    <x v="7"/>
    <s v="Saturday"/>
    <x v="262"/>
    <n v="382708.05711591325"/>
    <n v="1637914.345647376"/>
    <n v="478408.88605676213"/>
    <n v="11219.44"/>
    <m/>
    <n v="0.18940107592222244"/>
  </r>
  <r>
    <x v="5"/>
    <n v="6"/>
    <x v="7"/>
    <s v="Saturday"/>
    <x v="263"/>
    <n v="185778.56537848199"/>
    <n v="1175153.0254386116"/>
    <n v="220674.99984879026"/>
    <n v="7383.4799999999923"/>
    <m/>
    <n v="0.1365083789898226"/>
  </r>
  <r>
    <x v="5"/>
    <n v="7"/>
    <x v="7"/>
    <s v="Saturday"/>
    <x v="264"/>
    <n v="42424.304333728789"/>
    <n v="597533.19550359517"/>
    <n v="53115.973739597837"/>
    <n v="3727.3599999999974"/>
    <m/>
    <n v="6.6292377766512575E-2"/>
  </r>
  <r>
    <x v="5"/>
    <n v="9"/>
    <x v="7"/>
    <s v="Saturday"/>
    <x v="265"/>
    <n v="68139.512401305634"/>
    <n v="629677.15865418746"/>
    <n v="81346.573878190131"/>
    <n v="3913.7799999999961"/>
    <m/>
    <n v="9.7646724745397942E-2"/>
  </r>
  <r>
    <x v="5"/>
    <n v="10"/>
    <x v="7"/>
    <s v="Saturday"/>
    <x v="266"/>
    <n v="179688.98223905513"/>
    <n v="1151760.9027730171"/>
    <n v="233790.36243522327"/>
    <n v="7345.5600000000022"/>
    <m/>
    <n v="0.13495737561119386"/>
  </r>
  <r>
    <x v="5"/>
    <n v="11"/>
    <x v="7"/>
    <s v="Saturday"/>
    <x v="267"/>
    <n v="99484.190366925453"/>
    <n v="871629.91496236762"/>
    <n v="118021.66680515248"/>
    <n v="5571.7999999999975"/>
    <m/>
    <n v="0.1024433584281958"/>
  </r>
  <r>
    <x v="5"/>
    <n v="14"/>
    <x v="7"/>
    <s v="Saturday"/>
    <x v="268"/>
    <n v="107261.07978931753"/>
    <n v="857574.11940136203"/>
    <n v="133117.1960459275"/>
    <n v="5547.6599999999953"/>
    <m/>
    <n v="0.11117036347688183"/>
  </r>
  <r>
    <x v="5"/>
    <n v="16"/>
    <x v="6"/>
    <s v="Saturday"/>
    <x v="269"/>
    <n v="13238.343838461513"/>
    <n v="359303.21133409697"/>
    <n v="24089.78018881052"/>
    <n v="1928.4099999999989"/>
    <m/>
    <n v="3.5535213869844963E-2"/>
  </r>
  <r>
    <x v="5"/>
    <n v="17"/>
    <x v="7"/>
    <s v="Saturday"/>
    <x v="270"/>
    <n v="124783.15985907489"/>
    <n v="751498.28556416091"/>
    <n v="150222.97304789419"/>
    <n v="4836"/>
    <m/>
    <n v="0.14240077832391601"/>
  </r>
  <r>
    <x v="5"/>
    <n v="18"/>
    <x v="7"/>
    <s v="Saturday"/>
    <x v="271"/>
    <n v="228387.64674101837"/>
    <n v="1424143.1658660402"/>
    <n v="330072.72450402152"/>
    <n v="9137.2200000000066"/>
    <m/>
    <n v="0.13820477355015875"/>
  </r>
  <r>
    <x v="5"/>
    <n v="19"/>
    <x v="7"/>
    <s v="Saturday"/>
    <x v="272"/>
    <n v="151705.2090551389"/>
    <n v="764147.37150711007"/>
    <n v="186948.89267263692"/>
    <n v="4576.7299999999977"/>
    <m/>
    <n v="0.16564369886036234"/>
  </r>
  <r>
    <x v="5"/>
    <n v="21"/>
    <x v="7"/>
    <s v="Saturday"/>
    <x v="273"/>
    <n v="283673.99916242558"/>
    <n v="1640655.3410843778"/>
    <n v="433083.91899121512"/>
    <n v="10649.379999999992"/>
    <m/>
    <n v="0.1474144748663673"/>
  </r>
  <r>
    <x v="5"/>
    <n v="22"/>
    <x v="7"/>
    <s v="Saturday"/>
    <x v="274"/>
    <n v="144312.55711759455"/>
    <n v="987371.57759876258"/>
    <n v="175112.49576708593"/>
    <n v="6438.1200000000063"/>
    <m/>
    <n v="0.12752017342168073"/>
  </r>
  <r>
    <x v="5"/>
    <n v="23"/>
    <x v="6"/>
    <s v="Saturday"/>
    <x v="275"/>
    <n v="42937.775491082255"/>
    <n v="468512.54549091449"/>
    <n v="51007.184421485043"/>
    <n v="2756.2900000000013"/>
    <m/>
    <n v="8.395297398316362E-2"/>
  </r>
  <r>
    <x v="5"/>
    <n v="25"/>
    <x v="7"/>
    <s v="Saturday"/>
    <x v="276"/>
    <n v="9075.6166091352188"/>
    <n v="140732.5381741646"/>
    <n v="9581.3511713762819"/>
    <n v="878.79999999999927"/>
    <m/>
    <n v="6.0581592652704797E-2"/>
  </r>
  <r>
    <x v="5"/>
    <n v="32"/>
    <x v="6"/>
    <s v="Saturday"/>
    <x v="277"/>
    <n v="35016.266505988053"/>
    <n v="301101.8574590683"/>
    <n v="46003.347888983233"/>
    <n v="1761.239999999998"/>
    <m/>
    <n v="0.10417845397003472"/>
  </r>
  <r>
    <x v="5"/>
    <n v="46"/>
    <x v="6"/>
    <s v="Saturday"/>
    <x v="278"/>
    <n v="20759.8782170296"/>
    <n v="376380.24747841863"/>
    <n v="25340.739321935973"/>
    <n v="2256.239999999998"/>
    <m/>
    <n v="5.227343417056167E-2"/>
  </r>
  <r>
    <x v="5"/>
    <n v="54"/>
    <x v="7"/>
    <s v="Saturday"/>
    <x v="279"/>
    <n v="161761.57128267162"/>
    <n v="851262.78862097964"/>
    <n v="176793.92591202483"/>
    <n v="5526.2399999999961"/>
    <m/>
    <n v="0.15968181781734919"/>
  </r>
  <r>
    <x v="5"/>
    <n v="61"/>
    <x v="7"/>
    <s v="Saturday"/>
    <x v="280"/>
    <n v="26988.519754027286"/>
    <n v="260471.51949602764"/>
    <n v="31527.074537491684"/>
    <n v="1546.4800000000002"/>
    <m/>
    <n v="9.3886161792911288E-2"/>
  </r>
  <r>
    <x v="5"/>
    <n v="62"/>
    <x v="7"/>
    <s v="Saturday"/>
    <x v="281"/>
    <n v="66364.271414256553"/>
    <n v="625441.64652431197"/>
    <n v="82464.761229358643"/>
    <n v="3747.6400000000026"/>
    <m/>
    <n v="9.5929031095899953E-2"/>
  </r>
  <r>
    <x v="5"/>
    <n v="63"/>
    <x v="7"/>
    <s v="Saturday"/>
    <x v="282"/>
    <n v="117419.34792877251"/>
    <n v="868888.72015249962"/>
    <n v="137489.32933458735"/>
    <n v="5649.2800000000016"/>
    <m/>
    <n v="0.11904936371168071"/>
  </r>
  <r>
    <x v="5"/>
    <n v="64"/>
    <x v="7"/>
    <s v="Saturday"/>
    <x v="283"/>
    <n v="115731.1635671023"/>
    <n v="824132.80115772481"/>
    <n v="147087.27697870825"/>
    <n v="5169.840000000002"/>
    <m/>
    <n v="0.12313607916756976"/>
  </r>
  <r>
    <x v="5"/>
    <n v="65"/>
    <x v="6"/>
    <s v="Saturday"/>
    <x v="284"/>
    <n v="28679.465185402991"/>
    <n v="416091.51288042514"/>
    <n v="32822.636691118299"/>
    <n v="2077.4000000000015"/>
    <m/>
    <n v="6.4481422124530563E-2"/>
  </r>
  <r>
    <x v="5"/>
    <n v="67"/>
    <x v="7"/>
    <s v="Saturday"/>
    <x v="285"/>
    <n v="23114.729200773552"/>
    <n v="465013.15461283026"/>
    <n v="28820.812200572695"/>
    <n v="2478.4900000000011"/>
    <m/>
    <n v="4.7353838957497722E-2"/>
  </r>
  <r>
    <x v="5"/>
    <n v="68"/>
    <x v="7"/>
    <s v="Saturday"/>
    <x v="286"/>
    <n v="89338.908035873421"/>
    <n v="713874.27683650306"/>
    <n v="104873.11127323023"/>
    <n v="4627.4799999999941"/>
    <m/>
    <n v="0.11122689432702551"/>
  </r>
  <r>
    <x v="5"/>
    <n v="70"/>
    <x v="7"/>
    <s v="Saturday"/>
    <x v="287"/>
    <n v="5745.4250692441274"/>
    <n v="71510.148051058641"/>
    <n v="6716.3850638368986"/>
    <n v="403"/>
    <m/>
    <n v="7.4369069274747623E-2"/>
  </r>
  <r>
    <x v="5"/>
    <n v="71"/>
    <x v="7"/>
    <s v="Saturday"/>
    <x v="288"/>
    <n v="23261.524447377895"/>
    <n v="404344.90994298551"/>
    <n v="32239.685585963645"/>
    <n v="2127.3599999999997"/>
    <m/>
    <n v="5.4399378906778491E-2"/>
  </r>
  <r>
    <x v="5"/>
    <n v="74"/>
    <x v="7"/>
    <s v="Saturday"/>
    <x v="289"/>
    <n v="101795.25449258354"/>
    <n v="831479.0216172128"/>
    <n v="126954.71825994216"/>
    <n v="5389.0000000000009"/>
    <m/>
    <n v="0.10907324577390119"/>
  </r>
  <r>
    <x v="5"/>
    <n v="84"/>
    <x v="6"/>
    <s v="Saturday"/>
    <x v="290"/>
    <n v="21444.984491906896"/>
    <n v="309278.45073425752"/>
    <n v="28075.008206611503"/>
    <n v="1663.8000000000013"/>
    <m/>
    <n v="6.4842651616876787E-2"/>
  </r>
  <r>
    <x v="5"/>
    <n v="94"/>
    <x v="0"/>
    <s v="Saturday"/>
    <x v="291"/>
    <n v="459.10832908817821"/>
    <n v="13718.623227877304"/>
    <n v="504.11785961771932"/>
    <n v="71.539999999999992"/>
    <m/>
    <n v="3.238235448622382E-2"/>
  </r>
  <r>
    <x v="5"/>
    <n v="515"/>
    <x v="5"/>
    <s v="Saturday"/>
    <x v="292"/>
    <n v="48523.575608199986"/>
    <n v="482173.25661252538"/>
    <n v="59413.297866633176"/>
    <n v="2563.3500000000026"/>
    <m/>
    <n v="9.143370124360993E-2"/>
  </r>
  <r>
    <x v="5"/>
    <n v="535"/>
    <x v="0"/>
    <s v="Saturday"/>
    <x v="293"/>
    <n v="7218.8606489783824"/>
    <n v="288780.8209840791"/>
    <n v="7814.8641036211875"/>
    <n v="1509.5700000000004"/>
    <m/>
    <n v="2.438806896396396E-2"/>
  </r>
  <r>
    <x v="5"/>
    <n v="612"/>
    <x v="5"/>
    <s v="Saturday"/>
    <x v="294"/>
    <n v="29806.976781114674"/>
    <n v="355880.95217268448"/>
    <n v="37756.975494002021"/>
    <n v="2026.9600000000007"/>
    <m/>
    <n v="7.728262811327237E-2"/>
  </r>
  <r>
    <x v="5"/>
    <n v="645"/>
    <x v="0"/>
    <s v="Saturday"/>
    <x v="295"/>
    <n v="19732.818825162023"/>
    <n v="198208.20576622814"/>
    <n v="21325.430197285372"/>
    <n v="1318.8000000000013"/>
    <m/>
    <n v="9.0542011822502808E-2"/>
  </r>
  <r>
    <x v="5"/>
    <n v="721"/>
    <x v="5"/>
    <s v="Saturday"/>
    <x v="296"/>
    <n v="16517.577544176445"/>
    <n v="148575.29947536683"/>
    <n v="22301.510250578118"/>
    <n v="858"/>
    <m/>
    <n v="0.10005021320345114"/>
  </r>
  <r>
    <x v="5"/>
    <n v="722"/>
    <x v="5"/>
    <s v="Saturday"/>
    <x v="297"/>
    <n v="26830.065573507472"/>
    <n v="222944.16055155787"/>
    <n v="32522.862902168665"/>
    <n v="1207.9600000000005"/>
    <m/>
    <n v="0.10741727034747489"/>
  </r>
  <r>
    <x v="5"/>
    <n v="723"/>
    <x v="5"/>
    <s v="Saturday"/>
    <x v="298"/>
    <n v="13071.664987405511"/>
    <n v="78995.580936008322"/>
    <n v="15872.45162113239"/>
    <n v="466.96000000000032"/>
    <m/>
    <n v="0.1419795374163704"/>
  </r>
  <r>
    <x v="5"/>
    <n v="724"/>
    <x v="5"/>
    <s v="Saturday"/>
    <x v="299"/>
    <n v="50763.300717297432"/>
    <n v="230950.0130064179"/>
    <n v="59207.916516418547"/>
    <n v="1252.5600000000006"/>
    <m/>
    <n v="0.18019489404424288"/>
  </r>
  <r>
    <x v="5"/>
    <n v="852"/>
    <x v="0"/>
    <s v="Saturday"/>
    <x v="300"/>
    <n v="18399.729491765898"/>
    <n v="162120.88470892151"/>
    <n v="15852.743309748155"/>
    <n v="1018.9999999999992"/>
    <m/>
    <n v="0.101925918949681"/>
  </r>
  <r>
    <x v="5"/>
    <n v="921"/>
    <x v="8"/>
    <s v="Saturday"/>
    <x v="301"/>
    <n v="192557.91646902473"/>
    <n v="949171.64298289316"/>
    <n v="207630"/>
    <n v="5219.9999999999982"/>
    <m/>
    <n v="0.16865457750035068"/>
  </r>
  <r>
    <x v="5"/>
    <n v="2"/>
    <x v="7"/>
    <s v="Sunday"/>
    <x v="302"/>
    <n v="104537.65039096378"/>
    <n v="757506.93229616527"/>
    <n v="137876.23460544623"/>
    <n v="4607.6200000000008"/>
    <m/>
    <n v="0.12126710438235506"/>
  </r>
  <r>
    <x v="5"/>
    <n v="3"/>
    <x v="7"/>
    <s v="Sunday"/>
    <x v="303"/>
    <n v="80411.920882192848"/>
    <n v="625563.47775113489"/>
    <n v="93079.242829087292"/>
    <n v="3922.6399999999971"/>
    <m/>
    <n v="0.11390187397161342"/>
  </r>
  <r>
    <x v="5"/>
    <n v="4"/>
    <x v="7"/>
    <s v="Sunday"/>
    <x v="304"/>
    <n v="114712.73861583322"/>
    <n v="888330.82830620278"/>
    <n v="114865.22514503576"/>
    <n v="5420.4200000000028"/>
    <m/>
    <n v="0.11436466211317574"/>
  </r>
  <r>
    <x v="5"/>
    <n v="5"/>
    <x v="7"/>
    <s v="Sunday"/>
    <x v="305"/>
    <n v="351626.81251820276"/>
    <n v="1388004.2269643773"/>
    <n v="413412.94967065862"/>
    <n v="9772.9300000000057"/>
    <m/>
    <n v="0.2021272353376653"/>
  </r>
  <r>
    <x v="5"/>
    <n v="6"/>
    <x v="7"/>
    <s v="Sunday"/>
    <x v="306"/>
    <n v="162164.74599825568"/>
    <n v="1164403.3788753857"/>
    <n v="187796.35006215889"/>
    <n v="7089.5699999999897"/>
    <m/>
    <n v="0.12224381315788228"/>
  </r>
  <r>
    <x v="5"/>
    <n v="7"/>
    <x v="7"/>
    <s v="Sunday"/>
    <x v="307"/>
    <n v="38869.119760344227"/>
    <n v="667847.48132780462"/>
    <n v="45622.6662954036"/>
    <n v="4022.8800000000056"/>
    <m/>
    <n v="5.4999584982858035E-2"/>
  </r>
  <r>
    <x v="5"/>
    <n v="9"/>
    <x v="7"/>
    <s v="Sunday"/>
    <x v="308"/>
    <n v="64263.653484880291"/>
    <n v="663627.41031075129"/>
    <n v="75457.937892490954"/>
    <n v="4005.0399999999977"/>
    <m/>
    <n v="8.8287460419933739E-2"/>
  </r>
  <r>
    <x v="5"/>
    <n v="10"/>
    <x v="7"/>
    <s v="Sunday"/>
    <x v="309"/>
    <n v="145250.30614874061"/>
    <n v="860428.03610434767"/>
    <n v="177924.56061775185"/>
    <n v="5122.6600000000044"/>
    <m/>
    <n v="0.14443018214285758"/>
  </r>
  <r>
    <x v="5"/>
    <n v="11"/>
    <x v="7"/>
    <s v="Sunday"/>
    <x v="310"/>
    <n v="71820.750050998089"/>
    <n v="598432.5406623208"/>
    <n v="81074.806636997033"/>
    <n v="3735.0600000000045"/>
    <m/>
    <n v="0.10715463996388987"/>
  </r>
  <r>
    <x v="5"/>
    <n v="14"/>
    <x v="7"/>
    <s v="Sunday"/>
    <x v="311"/>
    <n v="96539.494891359165"/>
    <n v="845033.77345376927"/>
    <n v="109726.54227148395"/>
    <n v="5066.2600000000011"/>
    <m/>
    <n v="0.1025299869239418"/>
  </r>
  <r>
    <x v="5"/>
    <n v="16"/>
    <x v="6"/>
    <s v="Sunday"/>
    <x v="312"/>
    <n v="11934.172563747783"/>
    <n v="354398.60879894643"/>
    <n v="19928.21464809799"/>
    <n v="1980.6799999999985"/>
    <m/>
    <n v="3.2577408222531266E-2"/>
  </r>
  <r>
    <x v="5"/>
    <n v="17"/>
    <x v="7"/>
    <s v="Sunday"/>
    <x v="313"/>
    <n v="107155.56399827501"/>
    <n v="628187.40351289569"/>
    <n v="123921.71286586356"/>
    <n v="4056.6599999999971"/>
    <m/>
    <n v="0.14572188588537391"/>
  </r>
  <r>
    <x v="5"/>
    <n v="18"/>
    <x v="7"/>
    <s v="Sunday"/>
    <x v="314"/>
    <n v="213977.10685719425"/>
    <n v="1196494.0357872217"/>
    <n v="290215.257928279"/>
    <n v="7574.0100000000039"/>
    <m/>
    <n v="0.15170612172612064"/>
  </r>
  <r>
    <x v="5"/>
    <n v="19"/>
    <x v="7"/>
    <s v="Sunday"/>
    <x v="315"/>
    <n v="139526.07204557545"/>
    <n v="754553.85829927097"/>
    <n v="166353.70727611467"/>
    <n v="4472.1600000000035"/>
    <m/>
    <n v="0.1560554792810977"/>
  </r>
  <r>
    <x v="5"/>
    <n v="21"/>
    <x v="7"/>
    <s v="Sunday"/>
    <x v="316"/>
    <n v="245127.97333977566"/>
    <n v="1291670.745393937"/>
    <n v="351311.02321939764"/>
    <n v="8362.0000000000055"/>
    <m/>
    <n v="0.15950558153884692"/>
  </r>
  <r>
    <x v="5"/>
    <n v="22"/>
    <x v="7"/>
    <s v="Sunday"/>
    <x v="317"/>
    <n v="124270.32286967496"/>
    <n v="781166.9193014534"/>
    <n v="146195.21656868514"/>
    <n v="5311.6399999999976"/>
    <m/>
    <n v="0.13724896335353937"/>
  </r>
  <r>
    <x v="5"/>
    <n v="23"/>
    <x v="6"/>
    <s v="Sunday"/>
    <x v="318"/>
    <n v="34863.2173877186"/>
    <n v="423342.91463655286"/>
    <n v="39295.261061518642"/>
    <n v="2326.6200000000008"/>
    <m/>
    <n v="7.6086317818793117E-2"/>
  </r>
  <r>
    <x v="5"/>
    <n v="32"/>
    <x v="6"/>
    <s v="Sunday"/>
    <x v="319"/>
    <n v="27889.867544638917"/>
    <n v="308514.28631021857"/>
    <n v="35150.291993550731"/>
    <n v="1749.020000000002"/>
    <m/>
    <n v="8.2905835808056272E-2"/>
  </r>
  <r>
    <x v="5"/>
    <n v="46"/>
    <x v="6"/>
    <s v="Sunday"/>
    <x v="320"/>
    <n v="14301.033712889179"/>
    <n v="337789.38433889404"/>
    <n v="17664.870677550945"/>
    <n v="1858.4600000000007"/>
    <m/>
    <n v="4.0617503287993122E-2"/>
  </r>
  <r>
    <x v="5"/>
    <n v="54"/>
    <x v="7"/>
    <s v="Sunday"/>
    <x v="321"/>
    <n v="137335.25592034269"/>
    <n v="596456.5494961373"/>
    <n v="138096.13786931237"/>
    <n v="3950.2200000000003"/>
    <m/>
    <n v="0.18715833960886902"/>
  </r>
  <r>
    <x v="5"/>
    <n v="62"/>
    <x v="7"/>
    <s v="Sunday"/>
    <x v="322"/>
    <n v="52060.330285211065"/>
    <n v="417087.82016765128"/>
    <n v="60854.07915677518"/>
    <n v="2424.4"/>
    <m/>
    <n v="0.11096778327903017"/>
  </r>
  <r>
    <x v="5"/>
    <n v="63"/>
    <x v="7"/>
    <s v="Sunday"/>
    <x v="323"/>
    <n v="98809.884460118803"/>
    <n v="930093.25975859421"/>
    <n v="112962.85445668412"/>
    <n v="5700.24"/>
    <m/>
    <n v="9.6034194292553221E-2"/>
  </r>
  <r>
    <x v="5"/>
    <n v="64"/>
    <x v="7"/>
    <s v="Sunday"/>
    <x v="324"/>
    <n v="105570.95389806642"/>
    <n v="617563.48783592216"/>
    <n v="127489.95450595605"/>
    <n v="3953.279999999997"/>
    <m/>
    <n v="0.14599076991122162"/>
  </r>
  <r>
    <x v="5"/>
    <n v="65"/>
    <x v="6"/>
    <s v="Sunday"/>
    <x v="325"/>
    <n v="23938.191410257801"/>
    <n v="429628.20576695283"/>
    <n v="26628.003239190268"/>
    <n v="2200.5200000000023"/>
    <m/>
    <n v="5.2777700374714999E-2"/>
  </r>
  <r>
    <x v="5"/>
    <n v="67"/>
    <x v="7"/>
    <s v="Sunday"/>
    <x v="326"/>
    <n v="18727.467490166357"/>
    <n v="417948.0396080715"/>
    <n v="22981.965633107382"/>
    <n v="2211.1799999999976"/>
    <m/>
    <n v="4.2886461882445999E-2"/>
  </r>
  <r>
    <x v="5"/>
    <n v="68"/>
    <x v="7"/>
    <s v="Sunday"/>
    <x v="327"/>
    <n v="70043.733393679038"/>
    <n v="470947.42457248177"/>
    <n v="83590.20953735293"/>
    <n v="3092.5600000000027"/>
    <m/>
    <n v="0.12947297263971236"/>
  </r>
  <r>
    <x v="5"/>
    <n v="70"/>
    <x v="7"/>
    <s v="Sunday"/>
    <x v="328"/>
    <n v="4558.730968820103"/>
    <n v="81021.962117134361"/>
    <n v="5427.0465874895208"/>
    <n v="428.03999999999979"/>
    <m/>
    <n v="5.3268217449950563E-2"/>
  </r>
  <r>
    <x v="5"/>
    <n v="71"/>
    <x v="7"/>
    <s v="Sunday"/>
    <x v="329"/>
    <n v="12056.391363044118"/>
    <n v="135078.48406557654"/>
    <n v="14009.497555549211"/>
    <n v="782.7499999999992"/>
    <m/>
    <n v="8.1941085197662869E-2"/>
  </r>
  <r>
    <x v="5"/>
    <n v="74"/>
    <x v="7"/>
    <s v="Sunday"/>
    <x v="330"/>
    <n v="82492.382027075917"/>
    <n v="685550.12754937913"/>
    <n v="96379.866346172857"/>
    <n v="4052.3200000000006"/>
    <m/>
    <n v="0.10740601073313924"/>
  </r>
  <r>
    <x v="5"/>
    <n v="84"/>
    <x v="6"/>
    <s v="Sunday"/>
    <x v="331"/>
    <n v="15025.643773058315"/>
    <n v="244657.8678611725"/>
    <n v="19468.699808981426"/>
    <n v="1346.8000000000004"/>
    <m/>
    <n v="5.7861370090459267E-2"/>
  </r>
  <r>
    <x v="5"/>
    <n v="94"/>
    <x v="0"/>
    <s v="Sunday"/>
    <x v="332"/>
    <n v="116.7551984656529"/>
    <n v="6943.2325622967901"/>
    <n v="185.67303883039455"/>
    <n v="35.769999999999996"/>
    <m/>
    <n v="1.653759219166747E-2"/>
  </r>
  <r>
    <x v="5"/>
    <n v="515"/>
    <x v="5"/>
    <s v="Sunday"/>
    <x v="333"/>
    <n v="39433.968278366199"/>
    <n v="397497.3155482515"/>
    <n v="45600.883424926287"/>
    <n v="1924.3100000000002"/>
    <m/>
    <n v="9.0252105395168536E-2"/>
  </r>
  <r>
    <x v="5"/>
    <n v="535"/>
    <x v="0"/>
    <s v="Sunday"/>
    <x v="334"/>
    <n v="5810.0516619270466"/>
    <n v="304965.54903801612"/>
    <n v="6276.5785361045673"/>
    <n v="1583.3499999999997"/>
    <m/>
    <n v="1.8695327589557803E-2"/>
  </r>
  <r>
    <x v="5"/>
    <n v="612"/>
    <x v="5"/>
    <s v="Sunday"/>
    <x v="335"/>
    <n v="22601.316582000418"/>
    <n v="255499.49463927612"/>
    <n v="26550.207273199885"/>
    <n v="1388.5200000000018"/>
    <m/>
    <n v="8.1270228888391208E-2"/>
  </r>
  <r>
    <x v="5"/>
    <n v="645"/>
    <x v="0"/>
    <s v="Sunday"/>
    <x v="336"/>
    <n v="13333.0592614334"/>
    <n v="166252.4572225966"/>
    <n v="15931.576555285083"/>
    <n v="1071.2199999999993"/>
    <m/>
    <n v="7.4243510960523756E-2"/>
  </r>
  <r>
    <x v="5"/>
    <n v="721"/>
    <x v="5"/>
    <s v="Sunday"/>
    <x v="337"/>
    <n v="16873.911639067486"/>
    <n v="172374.73963165487"/>
    <n v="21002.836258311891"/>
    <n v="957"/>
    <m/>
    <n v="8.9162652022968247E-2"/>
  </r>
  <r>
    <x v="5"/>
    <n v="722"/>
    <x v="5"/>
    <s v="Sunday"/>
    <x v="338"/>
    <n v="21984.59312537713"/>
    <n v="221199.94438465658"/>
    <n v="25544.04611305752"/>
    <n v="1261.5"/>
    <m/>
    <n v="9.0402923436158245E-2"/>
  </r>
  <r>
    <x v="5"/>
    <n v="723"/>
    <x v="5"/>
    <s v="Sunday"/>
    <x v="339"/>
    <n v="9907.5961820573011"/>
    <n v="82271.036381134836"/>
    <n v="11476.460902902154"/>
    <n v="473.86000000000024"/>
    <m/>
    <n v="0.10748256842783221"/>
  </r>
  <r>
    <x v="5"/>
    <n v="724"/>
    <x v="5"/>
    <s v="Sunday"/>
    <x v="340"/>
    <n v="46363.619071230503"/>
    <n v="237633.80833979035"/>
    <n v="49609.968872297657"/>
    <n v="1235.4400000000003"/>
    <m/>
    <n v="0.16325365864716038"/>
  </r>
  <r>
    <x v="5"/>
    <n v="921"/>
    <x v="8"/>
    <s v="Sunday"/>
    <x v="341"/>
    <n v="156754.95725462338"/>
    <n v="1031257.8137407271"/>
    <n v="178097"/>
    <n v="5336.5800000000072"/>
    <m/>
    <n v="0.13194719878582589"/>
  </r>
  <r>
    <x v="5"/>
    <n v="888"/>
    <x v="9"/>
    <s v="Weekday"/>
    <x v="342"/>
    <n v="2380000.7303388626"/>
    <n v="12283148.853756811"/>
    <n v="712027.6"/>
    <n v="2636.4"/>
    <m/>
    <n v="0.16231169959012903"/>
  </r>
  <r>
    <x v="5"/>
    <n v="888"/>
    <x v="9"/>
    <s v="Saturday"/>
    <x v="343"/>
    <n v="137101.44656774972"/>
    <n v="707578.55440543662"/>
    <n v="41016.800000000003"/>
    <n v="287.75"/>
    <m/>
    <n v="0.16231169959012903"/>
  </r>
  <r>
    <x v="5"/>
    <n v="888"/>
    <x v="9"/>
    <s v="Sunday"/>
    <x v="344"/>
    <n v="114592.59309338736"/>
    <n v="591410.69183775201"/>
    <n v="34282.800000000003"/>
    <n v="266.93"/>
    <m/>
    <n v="0.16231169959012903"/>
  </r>
  <r>
    <x v="5"/>
    <s v="Blue Line"/>
    <x v="10"/>
    <s v="Weekday"/>
    <x v="345"/>
    <n v="8826846.3091392312"/>
    <n v="18328396.615414791"/>
    <n v="8328955"/>
    <n v="37987.379999999997"/>
    <m/>
    <n v="0.32505127402700995"/>
  </r>
  <r>
    <x v="5"/>
    <s v="Green Line"/>
    <x v="10"/>
    <s v="Weekday"/>
    <x v="346"/>
    <n v="11622083.508550052"/>
    <n v="14906225.570544958"/>
    <n v="10770751"/>
    <n v="46062.34"/>
    <m/>
    <n v="0.43810117990929742"/>
  </r>
  <r>
    <x v="5"/>
    <s v="Blue Line"/>
    <x v="10"/>
    <s v="Saturday"/>
    <x v="347"/>
    <n v="1545492.381489211"/>
    <n v="3488200.7718886696"/>
    <n v="1458316.6"/>
    <n v="7453.34"/>
    <m/>
    <n v="0.30702951777108267"/>
  </r>
  <r>
    <x v="5"/>
    <s v="Green Line"/>
    <x v="10"/>
    <s v="Saturday"/>
    <x v="348"/>
    <n v="1817329.2997799932"/>
    <n v="2867206.2465240937"/>
    <n v="1684207.6"/>
    <n v="8938.1"/>
    <m/>
    <n v="0.38794225848361724"/>
  </r>
  <r>
    <x v="5"/>
    <s v="Blue Line"/>
    <x v="10"/>
    <s v="Sunday"/>
    <x v="349"/>
    <n v="1454166.6167825595"/>
    <n v="3472820.5055621327"/>
    <n v="1372142.2"/>
    <n v="7764.88"/>
    <m/>
    <n v="0.29514317384506167"/>
  </r>
  <r>
    <x v="5"/>
    <s v="Green Line"/>
    <x v="10"/>
    <s v="Sunday"/>
    <x v="350"/>
    <n v="1447258.9742589551"/>
    <n v="3347652.7550653447"/>
    <n v="1341245.3999999999"/>
    <n v="9414.69"/>
    <m/>
    <n v="0.3018322455047369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x v="0"/>
    <n v="416"/>
    <x v="0"/>
    <s v="Weekday"/>
    <n v="250764.65768326345"/>
    <n v="5351.9923228285734"/>
    <n v="245412.66536043488"/>
    <n v="6818"/>
    <x v="0"/>
  </r>
  <r>
    <x v="0"/>
    <n v="460"/>
    <x v="0"/>
    <s v="Weekday"/>
    <n v="2245372.829993635"/>
    <n v="1034817.5589223363"/>
    <n v="1210555.2710712985"/>
    <n v="395097"/>
    <x v="1"/>
  </r>
  <r>
    <x v="0"/>
    <n v="464"/>
    <x v="0"/>
    <s v="Weekday"/>
    <n v="919709.48971065914"/>
    <n v="141772.63268813721"/>
    <n v="777936.8570225219"/>
    <n v="54608"/>
    <x v="2"/>
  </r>
  <r>
    <x v="0"/>
    <n v="465"/>
    <x v="0"/>
    <s v="Weekday"/>
    <n v="2145379.2843280286"/>
    <n v="495713.35156860796"/>
    <n v="1649665.9327594205"/>
    <n v="231204"/>
    <x v="3"/>
  </r>
  <r>
    <x v="0"/>
    <n v="470"/>
    <x v="0"/>
    <s v="Weekday"/>
    <n v="679748.68632844498"/>
    <n v="267353.93378234422"/>
    <n v="412394.75254610076"/>
    <n v="103128"/>
    <x v="4"/>
  </r>
  <r>
    <x v="0"/>
    <n v="472"/>
    <x v="0"/>
    <s v="Weekday"/>
    <n v="697527.94462215272"/>
    <n v="222100.24874315257"/>
    <n v="475427.69587900012"/>
    <n v="70428"/>
    <x v="5"/>
  </r>
  <r>
    <x v="0"/>
    <n v="475"/>
    <x v="0"/>
    <s v="Weekday"/>
    <n v="759219.08783698268"/>
    <n v="139956.40945427879"/>
    <n v="619262.67838270392"/>
    <n v="57878"/>
    <x v="6"/>
  </r>
  <r>
    <x v="0"/>
    <n v="476"/>
    <x v="0"/>
    <s v="Weekday"/>
    <n v="892679.23542067828"/>
    <n v="255373.17631088529"/>
    <n v="637306.05910979304"/>
    <n v="92676"/>
    <x v="7"/>
  </r>
  <r>
    <x v="0"/>
    <n v="477"/>
    <x v="0"/>
    <s v="Weekday"/>
    <n v="1787334.0777111806"/>
    <n v="902981.20012595097"/>
    <n v="884352.87758522958"/>
    <n v="349669"/>
    <x v="8"/>
  </r>
  <r>
    <x v="0"/>
    <n v="478"/>
    <x v="0"/>
    <s v="Weekday"/>
    <n v="618223.22251174808"/>
    <n v="110208.09586280129"/>
    <n v="508015.12664894678"/>
    <n v="39323"/>
    <x v="9"/>
  </r>
  <r>
    <x v="0"/>
    <n v="479"/>
    <x v="0"/>
    <s v="Weekday"/>
    <n v="197955.94037387747"/>
    <n v="30896.067999121897"/>
    <n v="167059.87237475556"/>
    <n v="11297"/>
    <x v="10"/>
  </r>
  <r>
    <x v="0"/>
    <n v="480"/>
    <x v="0"/>
    <s v="Weekday"/>
    <n v="945571.13104613195"/>
    <n v="355468.09623588074"/>
    <n v="590103.03481025121"/>
    <n v="134129"/>
    <x v="11"/>
  </r>
  <r>
    <x v="0"/>
    <n v="484"/>
    <x v="0"/>
    <s v="Weekday"/>
    <n v="494373.06111402984"/>
    <n v="140230.40898929286"/>
    <n v="354142.65212473698"/>
    <n v="54999"/>
    <x v="12"/>
  </r>
  <r>
    <x v="0"/>
    <n v="490"/>
    <x v="0"/>
    <s v="Weekday"/>
    <n v="1071269.2566856577"/>
    <n v="325989.70559116127"/>
    <n v="745279.55109449639"/>
    <n v="127797"/>
    <x v="13"/>
  </r>
  <r>
    <x v="0"/>
    <n v="491"/>
    <x v="0"/>
    <s v="Weekday"/>
    <n v="243300.11351541901"/>
    <n v="14296.858439140799"/>
    <n v="229003.2550762782"/>
    <n v="7986"/>
    <x v="14"/>
  </r>
  <r>
    <x v="0"/>
    <n v="492"/>
    <x v="0"/>
    <s v="Weekday"/>
    <n v="129491.26530883087"/>
    <n v="10520.049849383762"/>
    <n v="118971.21545944711"/>
    <n v="3805"/>
    <x v="15"/>
  </r>
  <r>
    <x v="0"/>
    <n v="493"/>
    <x v="0"/>
    <s v="Weekday"/>
    <n v="1028433.0603402476"/>
    <n v="181005.26896017202"/>
    <n v="847427.79138007551"/>
    <n v="72994"/>
    <x v="16"/>
  </r>
  <r>
    <x v="0"/>
    <n v="495"/>
    <x v="0"/>
    <s v="Weekday"/>
    <n v="1051880.9583371307"/>
    <n v="90037.314212092009"/>
    <n v="961843.64412503876"/>
    <n v="78774"/>
    <x v="17"/>
  </r>
  <r>
    <x v="0"/>
    <n v="465"/>
    <x v="0"/>
    <s v="Saturday"/>
    <n v="77692.432161609904"/>
    <n v="1248.6405341114744"/>
    <n v="76443.791627498431"/>
    <n v="883"/>
    <x v="18"/>
  </r>
  <r>
    <x v="0"/>
    <n v="495"/>
    <x v="0"/>
    <s v="Saturday"/>
    <n v="238298.54153284617"/>
    <n v="18904.892469571667"/>
    <n v="219393.6490632745"/>
    <n v="17688"/>
    <x v="19"/>
  </r>
  <r>
    <x v="0"/>
    <n v="465"/>
    <x v="0"/>
    <s v="Sunday"/>
    <n v="83447.776197980158"/>
    <n v="1028.260308030156"/>
    <n v="82419.515889950009"/>
    <n v="676"/>
    <x v="20"/>
  </r>
  <r>
    <x v="0"/>
    <n v="495"/>
    <x v="0"/>
    <s v="Sunday"/>
    <n v="255925.50774113712"/>
    <n v="15518.413233593816"/>
    <n v="240407.09450754331"/>
    <n v="16014"/>
    <x v="21"/>
  </r>
  <r>
    <x v="1"/>
    <n v="742"/>
    <x v="0"/>
    <s v="Weekday"/>
    <n v="315804.85951476434"/>
    <n v="60828.149344447069"/>
    <n v="254976.71017031727"/>
    <n v="25861"/>
    <x v="22"/>
  </r>
  <r>
    <x v="1"/>
    <n v="747"/>
    <x v="0"/>
    <s v="Weekday"/>
    <n v="458481.7363876896"/>
    <n v="142791.27285302681"/>
    <n v="315690.46353466279"/>
    <n v="60736"/>
    <x v="23"/>
  </r>
  <r>
    <x v="1"/>
    <n v="772"/>
    <x v="0"/>
    <s v="Weekday"/>
    <n v="287526.72877666721"/>
    <n v="147013.90173900963"/>
    <n v="140512.82703765758"/>
    <n v="62493"/>
    <x v="24"/>
  </r>
  <r>
    <x v="1"/>
    <n v="774"/>
    <x v="0"/>
    <s v="Weekday"/>
    <n v="534351.01982550602"/>
    <n v="203747.98648970004"/>
    <n v="330603.03333580599"/>
    <n v="86513"/>
    <x v="25"/>
  </r>
  <r>
    <x v="1"/>
    <n v="776"/>
    <x v="0"/>
    <s v="Weekday"/>
    <n v="518749.58892294299"/>
    <n v="194707.63310907615"/>
    <n v="324041.95581386681"/>
    <n v="82710"/>
    <x v="26"/>
  </r>
  <r>
    <x v="1"/>
    <n v="777"/>
    <x v="0"/>
    <s v="Weekday"/>
    <n v="362597.27434452646"/>
    <n v="124400.12577345855"/>
    <n v="238197.1485710679"/>
    <n v="52891"/>
    <x v="27"/>
  </r>
  <r>
    <x v="1"/>
    <n v="790"/>
    <x v="0"/>
    <s v="Weekday"/>
    <n v="491251.44000074774"/>
    <n v="169595.86763039883"/>
    <n v="321655.57237034891"/>
    <n v="72086"/>
    <x v="28"/>
  </r>
  <r>
    <x v="1"/>
    <n v="793"/>
    <x v="0"/>
    <s v="Weekday"/>
    <n v="134093.28596229784"/>
    <n v="32771.323929729973"/>
    <n v="101321.96203256787"/>
    <n v="13936"/>
    <x v="29"/>
  </r>
  <r>
    <x v="1"/>
    <n v="795"/>
    <x v="0"/>
    <s v="Weekday"/>
    <n v="69633.772482974513"/>
    <n v="13672.699131152982"/>
    <n v="55961.073351821527"/>
    <n v="5805"/>
    <x v="30"/>
  </r>
  <r>
    <x v="2"/>
    <n v="780"/>
    <x v="0"/>
    <s v="Weekday"/>
    <n v="298369.42088851391"/>
    <n v="62991.837916858407"/>
    <n v="235377.5829716555"/>
    <n v="22535"/>
    <x v="31"/>
  </r>
  <r>
    <x v="2"/>
    <n v="781"/>
    <x v="0"/>
    <s v="Weekday"/>
    <n v="1762121.7892634284"/>
    <n v="1145009.080955911"/>
    <n v="617112.70830751746"/>
    <n v="409621"/>
    <x v="32"/>
  </r>
  <r>
    <x v="2"/>
    <n v="782"/>
    <x v="0"/>
    <s v="Weekday"/>
    <n v="462494.49670881452"/>
    <n v="108546.66296815823"/>
    <n v="353947.83374065626"/>
    <n v="38832"/>
    <x v="33"/>
  </r>
  <r>
    <x v="2"/>
    <n v="783"/>
    <x v="0"/>
    <s v="Weekday"/>
    <n v="461288.09653233673"/>
    <n v="181224.17731643064"/>
    <n v="280063.91921590606"/>
    <n v="64832"/>
    <x v="34"/>
  </r>
  <r>
    <x v="2"/>
    <n v="785"/>
    <x v="0"/>
    <s v="Weekday"/>
    <n v="871112.88833368407"/>
    <n v="660764.3934313989"/>
    <n v="210348.49490228517"/>
    <n v="236385"/>
    <x v="35"/>
  </r>
  <r>
    <x v="2"/>
    <n v="789"/>
    <x v="0"/>
    <s v="Weekday"/>
    <n v="99602.980281398035"/>
    <n v="52638.087411242988"/>
    <n v="46964.892870155047"/>
    <n v="18831"/>
    <x v="36"/>
  </r>
  <r>
    <x v="3"/>
    <n v="690"/>
    <x v="0"/>
    <s v="Weekday"/>
    <n v="2913803"/>
    <n v="1000421"/>
    <n v="1913382"/>
    <n v="350141"/>
    <x v="37"/>
  </r>
  <r>
    <x v="3"/>
    <n v="691"/>
    <x v="0"/>
    <s v="Weekday"/>
    <n v="77858"/>
    <n v="18213"/>
    <n v="59645"/>
    <n v="8151"/>
    <x v="38"/>
  </r>
  <r>
    <x v="3"/>
    <n v="692"/>
    <x v="0"/>
    <s v="Weekday"/>
    <n v="350399"/>
    <n v="104131"/>
    <n v="246268"/>
    <n v="35563"/>
    <x v="39"/>
  </r>
  <r>
    <x v="3"/>
    <n v="695"/>
    <x v="0"/>
    <s v="Weekday"/>
    <n v="1079551"/>
    <n v="235597"/>
    <n v="843954"/>
    <n v="82670"/>
    <x v="40"/>
  </r>
  <r>
    <x v="3"/>
    <n v="697"/>
    <x v="0"/>
    <s v="Weekday"/>
    <n v="490510"/>
    <n v="148193"/>
    <n v="342317"/>
    <n v="51086"/>
    <x v="41"/>
  </r>
  <r>
    <x v="3"/>
    <n v="698"/>
    <x v="0"/>
    <s v="Weekday"/>
    <n v="2480765"/>
    <n v="455042"/>
    <n v="2025723"/>
    <n v="186109"/>
    <x v="42"/>
  </r>
  <r>
    <x v="3"/>
    <n v="699"/>
    <x v="0"/>
    <s v="Weekday"/>
    <n v="1386785"/>
    <n v="412183"/>
    <n v="974602"/>
    <n v="142741"/>
    <x v="43"/>
  </r>
  <r>
    <x v="4"/>
    <n v="118"/>
    <x v="0"/>
    <s v="Weekday"/>
    <n v="4516.1925537190082"/>
    <n v="2375.514999999999"/>
    <n v="2140.6775537190092"/>
    <n v="1244"/>
    <x v="44"/>
  </r>
  <r>
    <x v="4"/>
    <n v="350"/>
    <x v="0"/>
    <s v="Weekday"/>
    <n v="316688.66271395248"/>
    <n v="40428.324999999924"/>
    <n v="276260.33771395253"/>
    <n v="30184"/>
    <x v="45"/>
  </r>
  <r>
    <x v="4"/>
    <n v="364"/>
    <x v="0"/>
    <s v="Weekday"/>
    <n v="93536.283924821211"/>
    <n v="26357.37"/>
    <n v="67178.913924821216"/>
    <n v="11962"/>
    <x v="46"/>
  </r>
  <r>
    <x v="4"/>
    <n v="417"/>
    <x v="0"/>
    <s v="Weekday"/>
    <n v="53156.818589019342"/>
    <n v="6116.5890000000036"/>
    <n v="47040.229589019335"/>
    <n v="2898"/>
    <x v="47"/>
  </r>
  <r>
    <x v="4"/>
    <n v="670"/>
    <x v="0"/>
    <s v="Weekday"/>
    <n v="305742.66606030514"/>
    <n v="94825.319000000018"/>
    <n v="210917.34706030512"/>
    <n v="35150"/>
    <x v="48"/>
  </r>
  <r>
    <x v="4"/>
    <n v="671"/>
    <x v="0"/>
    <s v="Weekday"/>
    <n v="303589.37263734522"/>
    <n v="57612.778000000006"/>
    <n v="245976.59463734523"/>
    <n v="21345"/>
    <x v="49"/>
  </r>
  <r>
    <x v="4"/>
    <n v="762"/>
    <x v="0"/>
    <s v="Weekday"/>
    <n v="5129.1618165289256"/>
    <n v="2239.9619999999977"/>
    <n v="2889.1998165289278"/>
    <n v="1382"/>
    <x v="50"/>
  </r>
  <r>
    <x v="4"/>
    <s v="Metro Vanpool"/>
    <x v="1"/>
    <s v="All Days"/>
    <n v="833156"/>
    <n v="563125"/>
    <n v="270031"/>
    <n v="117252"/>
    <x v="51"/>
  </r>
  <r>
    <x v="2"/>
    <s v="MG DAR / MY RIDE"/>
    <x v="2"/>
    <s v="All Days"/>
    <n v="788759.54999999993"/>
    <n v="52769.59"/>
    <n v="735989.96"/>
    <n v="36568"/>
    <x v="52"/>
  </r>
  <r>
    <x v="4"/>
    <s v="Metro Mobility"/>
    <x v="3"/>
    <s v="All Days"/>
    <n v="76298154"/>
    <n v="7168431"/>
    <n v="69129723"/>
    <n v="1977507"/>
    <x v="53"/>
  </r>
  <r>
    <x v="1"/>
    <s v="Plymouth Dial a Ride"/>
    <x v="2"/>
    <s v="Weekday"/>
    <n v="1147968.2066275401"/>
    <n v="65180.160000000003"/>
    <n v="1082788.0466275401"/>
    <n v="27514"/>
    <x v="54"/>
  </r>
  <r>
    <x v="3"/>
    <s v="SW Prime "/>
    <x v="2"/>
    <s v="Weekday"/>
    <n v="991034"/>
    <n v="220638"/>
    <n v="770396"/>
    <n v="96297"/>
    <x v="55"/>
  </r>
  <r>
    <x v="3"/>
    <s v="SW Prime "/>
    <x v="2"/>
    <s v="Saturday"/>
    <n v="90103"/>
    <n v="20140"/>
    <n v="69963"/>
    <n v="6214"/>
    <x v="56"/>
  </r>
  <r>
    <x v="4"/>
    <s v="Transit Link"/>
    <x v="2"/>
    <s v="All Days"/>
    <n v="7007241"/>
    <n v="957534"/>
    <n v="6049707"/>
    <n v="243857"/>
    <x v="57"/>
  </r>
  <r>
    <x v="0"/>
    <s v="State Fair "/>
    <x v="4"/>
    <s v="Special"/>
    <n v="197774.34815439294"/>
    <n v="204123"/>
    <n v="-6348.6518456070626"/>
    <n v="86082"/>
    <x v="58"/>
  </r>
  <r>
    <x v="0"/>
    <s v="Event"/>
    <x v="4"/>
    <s v="Special"/>
    <s v="--"/>
    <s v="--"/>
    <m/>
    <n v="1532"/>
    <x v="58"/>
  </r>
  <r>
    <x v="3"/>
    <n v="682"/>
    <x v="4"/>
    <s v="Special"/>
    <n v="133337"/>
    <n v="21075"/>
    <n v="112262"/>
    <n v="16359"/>
    <x v="59"/>
  </r>
  <r>
    <x v="3"/>
    <s v="682 (State Fair)"/>
    <x v="4"/>
    <s v="Special"/>
    <n v="715931"/>
    <n v="329783"/>
    <n v="386148"/>
    <n v="108855"/>
    <x v="60"/>
  </r>
  <r>
    <x v="0"/>
    <n v="420"/>
    <x v="5"/>
    <s v="Weekday"/>
    <n v="362762.45666615583"/>
    <n v="19013.718688996662"/>
    <n v="343748.73797715915"/>
    <n v="17255"/>
    <x v="61"/>
  </r>
  <r>
    <x v="0"/>
    <n v="421"/>
    <x v="5"/>
    <s v="Weekday"/>
    <n v="108447.03465111906"/>
    <n v="4208.3631571873939"/>
    <n v="104238.67149393166"/>
    <n v="4858"/>
    <x v="62"/>
  </r>
  <r>
    <x v="0"/>
    <n v="426"/>
    <x v="5"/>
    <s v="Weekday"/>
    <n v="129061.9401128797"/>
    <n v="10994.270675022966"/>
    <n v="118067.66943785673"/>
    <n v="8052"/>
    <x v="63"/>
  </r>
  <r>
    <x v="0"/>
    <n v="436"/>
    <x v="5"/>
    <s v="Weekday"/>
    <n v="266334.2328573307"/>
    <n v="32872.574151921282"/>
    <n v="233461.65870540941"/>
    <n v="27011"/>
    <x v="64"/>
  </r>
  <r>
    <x v="0"/>
    <n v="440"/>
    <x v="5"/>
    <s v="Weekday"/>
    <n v="934007.0422128588"/>
    <n v="58864.513032416362"/>
    <n v="875142.52918044245"/>
    <n v="43965"/>
    <x v="65"/>
  </r>
  <r>
    <x v="0"/>
    <n v="442"/>
    <x v="5"/>
    <s v="Weekday"/>
    <n v="516024.01324438548"/>
    <n v="24249.415747149993"/>
    <n v="491774.59749723552"/>
    <n v="26968"/>
    <x v="66"/>
  </r>
  <r>
    <x v="0"/>
    <n v="444"/>
    <x v="5"/>
    <s v="Weekday"/>
    <n v="1771233.7423037621"/>
    <n v="201456.16592191972"/>
    <n v="1569777.5763818424"/>
    <n v="197660"/>
    <x v="67"/>
  </r>
  <r>
    <x v="0"/>
    <s v="445 /437 /438 "/>
    <x v="5"/>
    <s v="Weekday"/>
    <n v="1057228.5060972855"/>
    <n v="92356.556821736594"/>
    <n v="964871.94927554892"/>
    <n v="79444"/>
    <x v="68"/>
  </r>
  <r>
    <x v="0"/>
    <n v="446"/>
    <x v="5"/>
    <s v="Weekday"/>
    <n v="952507.10127239709"/>
    <n v="92146.925797107731"/>
    <n v="860360.17547528935"/>
    <n v="77552"/>
    <x v="69"/>
  </r>
  <r>
    <x v="0"/>
    <n v="489"/>
    <x v="5"/>
    <s v="Weekday"/>
    <n v="216834.39186915275"/>
    <n v="31305.813871892198"/>
    <n v="185528.57799726055"/>
    <n v="16106"/>
    <x v="70"/>
  </r>
  <r>
    <x v="0"/>
    <n v="497"/>
    <x v="5"/>
    <s v="Weekday"/>
    <n v="291071.68167129235"/>
    <n v="16715.284691273562"/>
    <n v="274356.39698001876"/>
    <n v="17299"/>
    <x v="71"/>
  </r>
  <r>
    <x v="0"/>
    <n v="499"/>
    <x v="5"/>
    <s v="Weekday"/>
    <n v="303920.07324174512"/>
    <n v="15030.131177130872"/>
    <n v="288889.94206461427"/>
    <n v="14635"/>
    <x v="72"/>
  </r>
  <r>
    <x v="0"/>
    <n v="420"/>
    <x v="5"/>
    <s v="Saturday"/>
    <n v="6434.6079755216415"/>
    <n v="0"/>
    <n v="6434.6079755216415"/>
    <n v="124"/>
    <x v="73"/>
  </r>
  <r>
    <x v="0"/>
    <n v="440"/>
    <x v="5"/>
    <s v="Saturday"/>
    <n v="121826.26334496499"/>
    <n v="4875.5245877085272"/>
    <n v="116950.73875725646"/>
    <n v="5405"/>
    <x v="74"/>
  </r>
  <r>
    <x v="0"/>
    <n v="442"/>
    <x v="5"/>
    <s v="Saturday"/>
    <n v="71671.875433777808"/>
    <n v="2501.9961127943934"/>
    <n v="69169.879320983411"/>
    <n v="2743"/>
    <x v="75"/>
  </r>
  <r>
    <x v="0"/>
    <n v="444"/>
    <x v="5"/>
    <s v="Saturday"/>
    <n v="180009.46072422079"/>
    <n v="22609.697783072643"/>
    <n v="157399.76294114813"/>
    <n v="24242"/>
    <x v="76"/>
  </r>
  <r>
    <x v="0"/>
    <n v="445"/>
    <x v="5"/>
    <s v="Saturday"/>
    <n v="104288.22141648406"/>
    <n v="7129.5003799250371"/>
    <n v="97158.721036559014"/>
    <n v="8093"/>
    <x v="77"/>
  </r>
  <r>
    <x v="0"/>
    <n v="420"/>
    <x v="5"/>
    <s v="Sunday"/>
    <n v="6434.6079755216415"/>
    <n v="0"/>
    <n v="6434.6079755216415"/>
    <n v="76"/>
    <x v="73"/>
  </r>
  <r>
    <x v="0"/>
    <n v="440"/>
    <x v="5"/>
    <s v="Sunday"/>
    <n v="131051.4362813616"/>
    <n v="3721.1190142338091"/>
    <n v="127330.3172671278"/>
    <n v="4258"/>
    <x v="78"/>
  </r>
  <r>
    <x v="0"/>
    <n v="442"/>
    <x v="5"/>
    <s v="Sunday"/>
    <n v="77473.102057322016"/>
    <n v="1849.6347550010557"/>
    <n v="75623.467302320962"/>
    <n v="2285"/>
    <x v="79"/>
  </r>
  <r>
    <x v="0"/>
    <n v="444"/>
    <x v="5"/>
    <s v="Sunday"/>
    <n v="193344.99848546609"/>
    <n v="18596.366448256955"/>
    <n v="174748.63203720914"/>
    <n v="19564"/>
    <x v="80"/>
  </r>
  <r>
    <x v="0"/>
    <n v="445"/>
    <x v="5"/>
    <s v="Sunday"/>
    <n v="112011.98144893027"/>
    <n v="5885.7305823760789"/>
    <n v="106126.25086655418"/>
    <n v="6711"/>
    <x v="81"/>
  </r>
  <r>
    <x v="1"/>
    <n v="740"/>
    <x v="5"/>
    <s v="Weekday"/>
    <n v="108368.80419761772"/>
    <n v="0"/>
    <n v="108368.80419761772"/>
    <n v="8052"/>
    <x v="82"/>
  </r>
  <r>
    <x v="1"/>
    <n v="741"/>
    <x v="5"/>
    <s v="Weekday"/>
    <n v="130668.15266576959"/>
    <n v="0"/>
    <n v="130668.15266576959"/>
    <n v="8681"/>
    <x v="83"/>
  </r>
  <r>
    <x v="1"/>
    <n v="771"/>
    <x v="5"/>
    <s v="Weekday"/>
    <n v="157491.96879277425"/>
    <n v="0"/>
    <n v="157491.96879277425"/>
    <n v="8115"/>
    <x v="84"/>
  </r>
  <r>
    <x v="1"/>
    <n v="791"/>
    <x v="5"/>
    <s v="Weekday"/>
    <n v="94882.812070833024"/>
    <n v="0"/>
    <n v="94882.812070833024"/>
    <n v="3944"/>
    <x v="85"/>
  </r>
  <r>
    <x v="2"/>
    <n v="787"/>
    <x v="5"/>
    <s v="Weekday"/>
    <n v="55620.166440344947"/>
    <n v="0"/>
    <n v="55620.166440344947"/>
    <n v="3093"/>
    <x v="86"/>
  </r>
  <r>
    <x v="2"/>
    <n v="788"/>
    <x v="5"/>
    <s v="Weekday"/>
    <n v="75462.575965179363"/>
    <n v="0"/>
    <n v="75462.575965179363"/>
    <n v="5971"/>
    <x v="87"/>
  </r>
  <r>
    <x v="3"/>
    <s v="SW Flex"/>
    <x v="5"/>
    <s v="Weekday"/>
    <n v="839951"/>
    <n v="99146"/>
    <n v="740805"/>
    <n v="40219"/>
    <x v="88"/>
  </r>
  <r>
    <x v="4"/>
    <n v="219"/>
    <x v="5"/>
    <s v="Saturday"/>
    <n v="103077.01138415447"/>
    <n v="12533.863000000008"/>
    <n v="90543.148384154454"/>
    <n v="9987"/>
    <x v="89"/>
  </r>
  <r>
    <x v="4"/>
    <n v="225"/>
    <x v="5"/>
    <s v="Saturday"/>
    <n v="30438.634042180689"/>
    <n v="2045.5489999999995"/>
    <n v="28393.08504218069"/>
    <n v="2021"/>
    <x v="90"/>
  </r>
  <r>
    <x v="4"/>
    <n v="227"/>
    <x v="5"/>
    <s v="Saturday"/>
    <n v="30438.634042180689"/>
    <n v="2428.6679999999997"/>
    <n v="28009.966042180691"/>
    <n v="2010"/>
    <x v="90"/>
  </r>
  <r>
    <x v="4"/>
    <n v="538"/>
    <x v="5"/>
    <s v="Saturday"/>
    <n v="91509.08536907594"/>
    <n v="13599.378000000021"/>
    <n v="77909.707369075913"/>
    <n v="14417"/>
    <x v="91"/>
  </r>
  <r>
    <x v="4"/>
    <n v="539"/>
    <x v="5"/>
    <s v="Saturday"/>
    <n v="111376.67249372513"/>
    <n v="23172.187000000042"/>
    <n v="88204.485493725078"/>
    <n v="21706"/>
    <x v="92"/>
  </r>
  <r>
    <x v="4"/>
    <n v="540"/>
    <x v="5"/>
    <s v="Saturday"/>
    <n v="46948.061480012744"/>
    <n v="17943.163000000022"/>
    <n v="29004.898480012722"/>
    <n v="13421"/>
    <x v="93"/>
  </r>
  <r>
    <x v="4"/>
    <n v="615"/>
    <x v="5"/>
    <s v="Saturday"/>
    <n v="67007.618852735948"/>
    <n v="7795.7759999999989"/>
    <n v="59211.84285273595"/>
    <n v="6228"/>
    <x v="94"/>
  </r>
  <r>
    <x v="4"/>
    <n v="716"/>
    <x v="5"/>
    <s v="Saturday"/>
    <n v="39572.422334190233"/>
    <n v="7729.5929999999971"/>
    <n v="31842.829334190235"/>
    <n v="7106"/>
    <x v="95"/>
  </r>
  <r>
    <x v="4"/>
    <n v="805"/>
    <x v="5"/>
    <s v="Saturday"/>
    <n v="89617.723989771344"/>
    <n v="11304.582000000006"/>
    <n v="78313.141989771335"/>
    <n v="8323"/>
    <x v="96"/>
  </r>
  <r>
    <x v="4"/>
    <n v="538"/>
    <x v="5"/>
    <s v="Sunday / Holiday"/>
    <n v="78730.835484905678"/>
    <n v="11165.421000000011"/>
    <n v="67565.414484905661"/>
    <n v="11652"/>
    <x v="97"/>
  </r>
  <r>
    <x v="4"/>
    <n v="539"/>
    <x v="5"/>
    <s v="Sunday / Holiday"/>
    <n v="89429.672421625975"/>
    <n v="15899.647000000028"/>
    <n v="73530.025421625949"/>
    <n v="13850"/>
    <x v="98"/>
  </r>
  <r>
    <x v="4"/>
    <n v="540"/>
    <x v="5"/>
    <s v="Sunday / Holiday"/>
    <n v="48594.628030243184"/>
    <n v="15942.680000000015"/>
    <n v="32651.948030243169"/>
    <n v="11032"/>
    <x v="99"/>
  </r>
  <r>
    <x v="4"/>
    <n v="219"/>
    <x v="5"/>
    <s v="Weekday"/>
    <n v="1033220.6548756333"/>
    <n v="161076.90900000086"/>
    <n v="872143.74587563239"/>
    <n v="129786"/>
    <x v="100"/>
  </r>
  <r>
    <x v="4"/>
    <n v="223"/>
    <x v="5"/>
    <s v="Weekday"/>
    <n v="227321.21453261154"/>
    <n v="38680.283999999985"/>
    <n v="188640.93053261156"/>
    <n v="30802"/>
    <x v="101"/>
  </r>
  <r>
    <x v="4"/>
    <n v="225"/>
    <x v="5"/>
    <s v="Weekday"/>
    <n v="203367.96282948804"/>
    <n v="25387.433999999983"/>
    <n v="177980.52882948806"/>
    <n v="23653"/>
    <x v="102"/>
  </r>
  <r>
    <x v="4"/>
    <n v="227"/>
    <x v="5"/>
    <s v="Weekday"/>
    <n v="219514.78577991069"/>
    <n v="28870.000000000004"/>
    <n v="190644.78577991069"/>
    <n v="23225"/>
    <x v="103"/>
  </r>
  <r>
    <x v="4"/>
    <n v="537"/>
    <x v="5"/>
    <s v="Weekday"/>
    <n v="171934.44419894775"/>
    <n v="19824.342000000011"/>
    <n v="152110.10219894774"/>
    <n v="17578"/>
    <x v="104"/>
  </r>
  <r>
    <x v="4"/>
    <n v="538"/>
    <x v="5"/>
    <s v="Weekday"/>
    <n v="610334.30204585427"/>
    <n v="111615.1299999995"/>
    <n v="498719.17204585479"/>
    <n v="106301"/>
    <x v="105"/>
  </r>
  <r>
    <x v="4"/>
    <n v="539"/>
    <x v="5"/>
    <s v="Weekday"/>
    <n v="1056183.6303056676"/>
    <n v="256351.14900000527"/>
    <n v="799832.48130566231"/>
    <n v="228448"/>
    <x v="106"/>
  </r>
  <r>
    <x v="4"/>
    <n v="540"/>
    <x v="5"/>
    <s v="Weekday"/>
    <n v="832295.30959712307"/>
    <n v="204592.85300000312"/>
    <n v="627702.45659711992"/>
    <n v="166029"/>
    <x v="107"/>
  </r>
  <r>
    <x v="4"/>
    <n v="542"/>
    <x v="5"/>
    <s v="Weekday"/>
    <n v="310559.986550709"/>
    <n v="59166.355999999731"/>
    <n v="251393.63055070926"/>
    <n v="46687"/>
    <x v="108"/>
  </r>
  <r>
    <x v="4"/>
    <n v="604"/>
    <x v="5"/>
    <s v="Weekday"/>
    <n v="141097.06270877708"/>
    <n v="10150.398000000012"/>
    <n v="130946.66470877707"/>
    <n v="11407"/>
    <x v="109"/>
  </r>
  <r>
    <x v="4"/>
    <n v="614"/>
    <x v="5"/>
    <s v="Weekday"/>
    <n v="179917.4610620639"/>
    <n v="11812.487000000005"/>
    <n v="168104.97406206391"/>
    <n v="8139"/>
    <x v="110"/>
  </r>
  <r>
    <x v="4"/>
    <n v="615"/>
    <x v="5"/>
    <s v="Weekday"/>
    <n v="332914.3209107602"/>
    <n v="53074.019999999786"/>
    <n v="279840.30091076042"/>
    <n v="40624"/>
    <x v="111"/>
  </r>
  <r>
    <x v="4"/>
    <n v="705"/>
    <x v="5"/>
    <s v="Weekday"/>
    <n v="468700.45348603308"/>
    <n v="74868.914999999572"/>
    <n v="393831.5384860335"/>
    <n v="67419"/>
    <x v="112"/>
  </r>
  <r>
    <x v="4"/>
    <n v="716"/>
    <x v="5"/>
    <s v="Weekday"/>
    <n v="203313.99306647081"/>
    <n v="43236.195999999836"/>
    <n v="160077.79706647096"/>
    <n v="34751"/>
    <x v="113"/>
  </r>
  <r>
    <x v="4"/>
    <n v="717"/>
    <x v="5"/>
    <s v="Weekday"/>
    <n v="217903.05880866692"/>
    <n v="59300.00099999964"/>
    <n v="158603.05780866728"/>
    <n v="59814"/>
    <x v="114"/>
  </r>
  <r>
    <x v="4"/>
    <n v="801"/>
    <x v="5"/>
    <s v="Weekday"/>
    <n v="432159.23539605504"/>
    <n v="78426.598999999464"/>
    <n v="353732.63639605558"/>
    <n v="71127"/>
    <x v="115"/>
  </r>
  <r>
    <x v="4"/>
    <n v="805"/>
    <x v="5"/>
    <s v="Weekday"/>
    <n v="550607.08847054362"/>
    <n v="94726.23799999959"/>
    <n v="455880.85047054401"/>
    <n v="67708"/>
    <x v="116"/>
  </r>
  <r>
    <x v="4"/>
    <n v="831"/>
    <x v="5"/>
    <s v="Weekday"/>
    <n v="254966.95214362995"/>
    <n v="23037.654000000031"/>
    <n v="231929.29814362992"/>
    <n v="22388"/>
    <x v="117"/>
  </r>
  <r>
    <x v="4"/>
    <n v="16"/>
    <x v="6"/>
    <s v="Saturday"/>
    <n v="17374.968545454547"/>
    <n v="1061.6920000000027"/>
    <n v="16313.276545454544"/>
    <n v="1830"/>
    <x v="118"/>
  </r>
  <r>
    <x v="4"/>
    <n v="30"/>
    <x v="6"/>
    <s v="Saturday"/>
    <n v="123274.51127390889"/>
    <n v="16127.966000000039"/>
    <n v="107146.54527390885"/>
    <n v="18477"/>
    <x v="119"/>
  </r>
  <r>
    <x v="4"/>
    <n v="80"/>
    <x v="6"/>
    <s v="Saturday"/>
    <n v="63413.431966057688"/>
    <n v="13620.547000000013"/>
    <n v="49792.884966057674"/>
    <n v="16439"/>
    <x v="120"/>
  </r>
  <r>
    <x v="4"/>
    <n v="83"/>
    <x v="6"/>
    <s v="Saturday"/>
    <n v="123046.66568990084"/>
    <n v="14980.092000000037"/>
    <n v="108066.5736899008"/>
    <n v="15359"/>
    <x v="121"/>
  </r>
  <r>
    <x v="4"/>
    <n v="84"/>
    <x v="6"/>
    <s v="Saturday"/>
    <n v="15961.278190082645"/>
    <n v="1449.975000000004"/>
    <n v="14511.303190082641"/>
    <n v="1805"/>
    <x v="122"/>
  </r>
  <r>
    <x v="4"/>
    <n v="87"/>
    <x v="6"/>
    <s v="Saturday"/>
    <n v="182530.55473042087"/>
    <n v="21102.920000000049"/>
    <n v="161427.63473042083"/>
    <n v="22016"/>
    <x v="123"/>
  </r>
  <r>
    <x v="4"/>
    <n v="16"/>
    <x v="6"/>
    <s v="Sunday / Holiday"/>
    <n v="19636.319249586777"/>
    <n v="720.78700000000129"/>
    <n v="18915.532249586777"/>
    <n v="1163"/>
    <x v="124"/>
  </r>
  <r>
    <x v="4"/>
    <n v="30"/>
    <x v="6"/>
    <s v="Sunday / Holiday"/>
    <n v="132405.58618308735"/>
    <n v="14739.707000000035"/>
    <n v="117665.87918308731"/>
    <n v="16224"/>
    <x v="125"/>
  </r>
  <r>
    <x v="4"/>
    <n v="80"/>
    <x v="6"/>
    <s v="Sunday / Holiday"/>
    <n v="36816.230827874351"/>
    <n v="9295.1319999999996"/>
    <n v="27521.098827874353"/>
    <n v="10070"/>
    <x v="126"/>
  </r>
  <r>
    <x v="4"/>
    <n v="83"/>
    <x v="6"/>
    <s v="Sunday / Holiday"/>
    <n v="132161.34462989349"/>
    <n v="13853.04800000003"/>
    <n v="118308.29662989346"/>
    <n v="14140"/>
    <x v="127"/>
  </r>
  <r>
    <x v="4"/>
    <n v="84"/>
    <x v="6"/>
    <s v="Sunday / Holiday"/>
    <n v="14182.833150413224"/>
    <n v="907.88100000000168"/>
    <n v="13274.952150413223"/>
    <n v="1110"/>
    <x v="128"/>
  </r>
  <r>
    <x v="4"/>
    <n v="87"/>
    <x v="6"/>
    <s v="Sunday / Holiday"/>
    <n v="196672.96610930478"/>
    <n v="16740.027000000056"/>
    <n v="179932.93910930472"/>
    <n v="16903"/>
    <x v="129"/>
  </r>
  <r>
    <x v="4"/>
    <n v="16"/>
    <x v="6"/>
    <s v="Weekday"/>
    <n v="68162.511626446285"/>
    <n v="5546.8319999999758"/>
    <n v="62615.679626446312"/>
    <n v="8246"/>
    <x v="130"/>
  </r>
  <r>
    <x v="4"/>
    <n v="27"/>
    <x v="6"/>
    <s v="Weekday"/>
    <n v="198839.54029937569"/>
    <n v="16034.195000000062"/>
    <n v="182805.34529937562"/>
    <n v="20552"/>
    <x v="131"/>
  </r>
  <r>
    <x v="4"/>
    <n v="30"/>
    <x v="6"/>
    <s v="Weekday"/>
    <n v="740903.76198727987"/>
    <n v="157690.41700000194"/>
    <n v="583213.34498727787"/>
    <n v="154565"/>
    <x v="132"/>
  </r>
  <r>
    <x v="4"/>
    <n v="80"/>
    <x v="6"/>
    <s v="Weekday"/>
    <n v="302711.37223541766"/>
    <n v="96714.173999999417"/>
    <n v="205997.19823541824"/>
    <n v="98052"/>
    <x v="133"/>
  </r>
  <r>
    <x v="4"/>
    <n v="83"/>
    <x v="6"/>
    <s v="Weekday"/>
    <n v="600486.51163716486"/>
    <n v="114548.83800000108"/>
    <n v="485937.67363716377"/>
    <n v="106379"/>
    <x v="134"/>
  </r>
  <r>
    <x v="4"/>
    <n v="84"/>
    <x v="6"/>
    <s v="Weekday"/>
    <n v="72173.734867768595"/>
    <n v="8747.3270000000048"/>
    <n v="63426.40786776859"/>
    <n v="10032"/>
    <x v="135"/>
  </r>
  <r>
    <x v="4"/>
    <n v="87"/>
    <x v="6"/>
    <s v="Weekday"/>
    <n v="1091659.8018111223"/>
    <n v="259128.70100000841"/>
    <n v="832531.10081111395"/>
    <n v="227554"/>
    <x v="136"/>
  </r>
  <r>
    <x v="5"/>
    <n v="2"/>
    <x v="7"/>
    <s v="Weekday"/>
    <n v="6029659.9676695131"/>
    <n v="1180598.2243872117"/>
    <n v="4849061.7432823014"/>
    <n v="1448128.3411701326"/>
    <x v="137"/>
  </r>
  <r>
    <x v="5"/>
    <n v="3"/>
    <x v="7"/>
    <s v="Weekday"/>
    <n v="8334695.0912415227"/>
    <n v="1600583.8250722014"/>
    <n v="6734111.2661693208"/>
    <n v="1622310.3971839733"/>
    <x v="138"/>
  </r>
  <r>
    <x v="5"/>
    <n v="4"/>
    <x v="7"/>
    <s v="Weekday"/>
    <n v="8472733.3910882808"/>
    <n v="1743602.6502952415"/>
    <n v="6729130.7407930391"/>
    <n v="1382841.9665109983"/>
    <x v="139"/>
  </r>
  <r>
    <x v="5"/>
    <n v="5"/>
    <x v="7"/>
    <s v="Weekday"/>
    <n v="12818463.89002654"/>
    <n v="3117375.8774933401"/>
    <n v="9701088.012533199"/>
    <n v="3476014.0037711198"/>
    <x v="140"/>
  </r>
  <r>
    <x v="5"/>
    <n v="6"/>
    <x v="7"/>
    <s v="Weekday"/>
    <n v="10417667.884550348"/>
    <n v="2334586.0589800295"/>
    <n v="8083081.8255703188"/>
    <n v="2027757.0399372163"/>
    <x v="141"/>
  </r>
  <r>
    <x v="5"/>
    <n v="7"/>
    <x v="7"/>
    <s v="Weekday"/>
    <n v="3346123.4161249902"/>
    <n v="423037.74372474942"/>
    <n v="2923085.6724002408"/>
    <n v="414414.96171261487"/>
    <x v="142"/>
  </r>
  <r>
    <x v="5"/>
    <n v="9"/>
    <x v="7"/>
    <s v="Weekday"/>
    <n v="4356100.4575872812"/>
    <n v="673915.65936088469"/>
    <n v="3682184.7982263966"/>
    <n v="631495.78793264914"/>
    <x v="143"/>
  </r>
  <r>
    <x v="5"/>
    <n v="10"/>
    <x v="7"/>
    <s v="Weekday"/>
    <n v="8311803.0740515152"/>
    <n v="1513812.1850152249"/>
    <n v="6797990.8890362903"/>
    <n v="1637923.5289184712"/>
    <x v="144"/>
  </r>
  <r>
    <x v="5"/>
    <n v="11"/>
    <x v="7"/>
    <s v="Weekday"/>
    <n v="5862003.8227913631"/>
    <n v="1163903.3627525098"/>
    <n v="4698100.4600388538"/>
    <n v="1034385.5366036745"/>
    <x v="145"/>
  </r>
  <r>
    <x v="5"/>
    <n v="12"/>
    <x v="7"/>
    <s v="Weekday"/>
    <n v="1992431.9568934722"/>
    <n v="456907.80531504081"/>
    <n v="1535524.1515784315"/>
    <n v="331528.02770781505"/>
    <x v="146"/>
  </r>
  <r>
    <x v="5"/>
    <n v="14"/>
    <x v="7"/>
    <s v="Weekday"/>
    <n v="6991607.3650881946"/>
    <n v="1274032.8524907953"/>
    <n v="5717574.5125973988"/>
    <n v="1217587.7755542144"/>
    <x v="147"/>
  </r>
  <r>
    <x v="5"/>
    <n v="16"/>
    <x v="6"/>
    <s v="Weekday"/>
    <n v="1976459.6628067482"/>
    <n v="116078.49247705277"/>
    <n v="1860381.1703296953"/>
    <n v="170545.35392367683"/>
    <x v="148"/>
  </r>
  <r>
    <x v="5"/>
    <n v="17"/>
    <x v="7"/>
    <s v="Weekday"/>
    <n v="6364218.6786776735"/>
    <n v="1402319.8781011661"/>
    <n v="4961898.8005765071"/>
    <n v="1263729.0816228872"/>
    <x v="149"/>
  </r>
  <r>
    <x v="5"/>
    <n v="18"/>
    <x v="7"/>
    <s v="Weekday"/>
    <n v="9821024.6610060688"/>
    <n v="1958612.6996716254"/>
    <n v="7862411.9613344437"/>
    <n v="2308185.5653439043"/>
    <x v="150"/>
  </r>
  <r>
    <x v="5"/>
    <n v="19"/>
    <x v="7"/>
    <s v="Weekday"/>
    <n v="6977505.2664347403"/>
    <n v="1410539.885063787"/>
    <n v="5566965.3813709533"/>
    <n v="1514187.4890914378"/>
    <x v="151"/>
  </r>
  <r>
    <x v="5"/>
    <n v="20"/>
    <x v="6"/>
    <s v="Weekday"/>
    <n v="185205.72878988061"/>
    <n v="8328.7716448712199"/>
    <n v="176876.95714500939"/>
    <n v="13152.704650108397"/>
    <x v="152"/>
  </r>
  <r>
    <x v="5"/>
    <n v="21"/>
    <x v="7"/>
    <s v="Weekday"/>
    <n v="10789554.871321255"/>
    <n v="2161467.9933571541"/>
    <n v="8628086.8779641017"/>
    <n v="2808846.1722330106"/>
    <x v="153"/>
  </r>
  <r>
    <x v="5"/>
    <n v="22"/>
    <x v="7"/>
    <s v="Weekday"/>
    <n v="7540097.1816556845"/>
    <n v="1391058.5187104268"/>
    <n v="6149038.6629452575"/>
    <n v="1386876.9839470331"/>
    <x v="154"/>
  </r>
  <r>
    <x v="5"/>
    <n v="23"/>
    <x v="6"/>
    <s v="Weekday"/>
    <n v="2833949.7695562788"/>
    <n v="374580.90209812421"/>
    <n v="2459368.8674581544"/>
    <n v="371878.20206816337"/>
    <x v="155"/>
  </r>
  <r>
    <x v="5"/>
    <n v="25"/>
    <x v="7"/>
    <s v="Weekday"/>
    <n v="2088526.9987170175"/>
    <n v="316682.67529960966"/>
    <n v="1771844.3234174079"/>
    <n v="229364.29061014342"/>
    <x v="156"/>
  </r>
  <r>
    <x v="5"/>
    <n v="32"/>
    <x v="6"/>
    <s v="Weekday"/>
    <n v="2105422.0142270997"/>
    <n v="407566.91404829116"/>
    <n v="1697855.1001788084"/>
    <n v="397355.86229024245"/>
    <x v="157"/>
  </r>
  <r>
    <x v="5"/>
    <n v="39"/>
    <x v="6"/>
    <s v="Weekday"/>
    <n v="220878.33153665464"/>
    <n v="31984.016827110099"/>
    <n v="188894.31470954453"/>
    <n v="27871.701415489952"/>
    <x v="158"/>
  </r>
  <r>
    <x v="5"/>
    <n v="46"/>
    <x v="6"/>
    <s v="Weekday"/>
    <n v="2878662.5669932058"/>
    <n v="302406.47170121007"/>
    <n v="2576256.0952919959"/>
    <n v="282387.94647009933"/>
    <x v="159"/>
  </r>
  <r>
    <x v="5"/>
    <n v="53"/>
    <x v="0"/>
    <s v="Weekday"/>
    <n v="850877.04069158121"/>
    <n v="246213.65911984246"/>
    <n v="604663.38157173875"/>
    <n v="181851.70098094665"/>
    <x v="160"/>
  </r>
  <r>
    <x v="5"/>
    <n v="54"/>
    <x v="7"/>
    <s v="Weekday"/>
    <n v="6279223.7968083592"/>
    <n v="1160368.1008092971"/>
    <n v="5118855.6959990617"/>
    <n v="1155359.3009982756"/>
    <x v="161"/>
  </r>
  <r>
    <x v="5"/>
    <n v="59"/>
    <x v="7"/>
    <s v="Weekday"/>
    <n v="941796.04162468773"/>
    <n v="221579.80497738809"/>
    <n v="720216.23664729961"/>
    <n v="138883.43304513514"/>
    <x v="162"/>
  </r>
  <r>
    <x v="5"/>
    <n v="61"/>
    <x v="7"/>
    <s v="Weekday"/>
    <n v="3854303.6453860905"/>
    <n v="714683.08771698887"/>
    <n v="3139620.5576691017"/>
    <n v="620602.27813490166"/>
    <x v="163"/>
  </r>
  <r>
    <x v="5"/>
    <n v="62"/>
    <x v="7"/>
    <s v="Weekday"/>
    <n v="4239345.2568004411"/>
    <n v="591695.69637379854"/>
    <n v="3647649.5604266427"/>
    <n v="639637.39509343007"/>
    <x v="164"/>
  </r>
  <r>
    <x v="5"/>
    <n v="63"/>
    <x v="7"/>
    <s v="Weekday"/>
    <n v="5453775.9134350559"/>
    <n v="1033073.0309554563"/>
    <n v="4420702.8824795997"/>
    <n v="1023116.5316100802"/>
    <x v="165"/>
  </r>
  <r>
    <x v="5"/>
    <n v="64"/>
    <x v="7"/>
    <s v="Weekday"/>
    <n v="6036968.8564401576"/>
    <n v="1069064.6575304514"/>
    <n v="4967904.1989097064"/>
    <n v="1106637.2434178148"/>
    <x v="166"/>
  </r>
  <r>
    <x v="5"/>
    <n v="65"/>
    <x v="6"/>
    <s v="Weekday"/>
    <n v="2431160.5535372626"/>
    <n v="227766.13287723821"/>
    <n v="2203394.4206600245"/>
    <n v="242456.83304655258"/>
    <x v="167"/>
  </r>
  <r>
    <x v="5"/>
    <n v="67"/>
    <x v="7"/>
    <s v="Weekday"/>
    <n v="2979471.6014236677"/>
    <n v="294455.49829735036"/>
    <n v="2685016.1031263173"/>
    <n v="285247.72617990605"/>
    <x v="168"/>
  </r>
  <r>
    <x v="5"/>
    <n v="68"/>
    <x v="7"/>
    <s v="Weekday"/>
    <n v="4772499.4708147626"/>
    <n v="727220.71499248559"/>
    <n v="4045278.7558222772"/>
    <n v="745908.75919539412"/>
    <x v="169"/>
  </r>
  <r>
    <x v="5"/>
    <n v="70"/>
    <x v="7"/>
    <s v="Weekday"/>
    <n v="1801984.1803154997"/>
    <n v="243455.91635698607"/>
    <n v="1558528.2639585135"/>
    <n v="211935.91966920329"/>
    <x v="170"/>
  </r>
  <r>
    <x v="5"/>
    <n v="71"/>
    <x v="7"/>
    <s v="Weekday"/>
    <n v="3425476.0833892557"/>
    <n v="371317.47380909807"/>
    <n v="3054158.6095801578"/>
    <n v="392869.62825146335"/>
    <x v="171"/>
  </r>
  <r>
    <x v="5"/>
    <n v="74"/>
    <x v="7"/>
    <s v="Weekday"/>
    <n v="5612809.9073081287"/>
    <n v="1066357.1896516674"/>
    <n v="4546452.7176564615"/>
    <n v="1056653.8539087635"/>
    <x v="172"/>
  </r>
  <r>
    <x v="5"/>
    <n v="75"/>
    <x v="7"/>
    <s v="Weekday"/>
    <n v="1495917.0716476811"/>
    <n v="178446.89112878"/>
    <n v="1317470.180518901"/>
    <n v="170156.37409372488"/>
    <x v="173"/>
  </r>
  <r>
    <x v="5"/>
    <n v="84"/>
    <x v="6"/>
    <s v="Weekday"/>
    <n v="2144630.1114290538"/>
    <n v="157895.51757845131"/>
    <n v="1986734.5938506024"/>
    <n v="185030.96279108719"/>
    <x v="174"/>
  </r>
  <r>
    <x v="5"/>
    <n v="94"/>
    <x v="0"/>
    <s v="Weekday"/>
    <n v="2621718.3416112987"/>
    <n v="671619.38598318968"/>
    <n v="1950098.9556281092"/>
    <n v="505013.03186638199"/>
    <x v="175"/>
  </r>
  <r>
    <x v="5"/>
    <n v="111"/>
    <x v="0"/>
    <s v="Weekday"/>
    <n v="133959.62362965973"/>
    <n v="29394.357841237565"/>
    <n v="104565.26578842217"/>
    <n v="16795.630417551667"/>
    <x v="176"/>
  </r>
  <r>
    <x v="5"/>
    <n v="113"/>
    <x v="0"/>
    <s v="Weekday"/>
    <n v="478295.60635169246"/>
    <n v="127869.99676410937"/>
    <n v="350425.60958758311"/>
    <n v="89183.220852288621"/>
    <x v="177"/>
  </r>
  <r>
    <x v="5"/>
    <n v="114"/>
    <x v="0"/>
    <s v="Weekday"/>
    <n v="640337.03949879156"/>
    <n v="156447.87799978195"/>
    <n v="483889.16149900958"/>
    <n v="111062.55832742556"/>
    <x v="178"/>
  </r>
  <r>
    <x v="5"/>
    <n v="115"/>
    <x v="0"/>
    <s v="Weekday"/>
    <n v="85855.721826147623"/>
    <n v="10092.509800885704"/>
    <n v="75763.212025261921"/>
    <n v="11474.386343809076"/>
    <x v="179"/>
  </r>
  <r>
    <x v="5"/>
    <n v="118"/>
    <x v="0"/>
    <s v="Weekday"/>
    <n v="118842.66892493381"/>
    <n v="26235.781906010194"/>
    <n v="92606.887018923619"/>
    <n v="15857.929707480849"/>
    <x v="180"/>
  </r>
  <r>
    <x v="5"/>
    <n v="129"/>
    <x v="6"/>
    <s v="Weekday"/>
    <n v="151220.42736419284"/>
    <n v="1787.875563970031"/>
    <n v="149432.55180022281"/>
    <n v="12511.665890347593"/>
    <x v="181"/>
  </r>
  <r>
    <x v="5"/>
    <n v="133"/>
    <x v="0"/>
    <s v="Weekday"/>
    <n v="571607.35732448078"/>
    <n v="124131.65472930628"/>
    <n v="447475.70259517449"/>
    <n v="67689.751368464014"/>
    <x v="182"/>
  </r>
  <r>
    <x v="5"/>
    <n v="134"/>
    <x v="0"/>
    <s v="Weekday"/>
    <n v="862524.50783876283"/>
    <n v="265157.16324071208"/>
    <n v="597367.34459805069"/>
    <n v="133418.00711442367"/>
    <x v="183"/>
  </r>
  <r>
    <x v="5"/>
    <n v="135"/>
    <x v="0"/>
    <s v="Weekday"/>
    <n v="473489.47911681468"/>
    <n v="144449.75203702497"/>
    <n v="329039.72707978974"/>
    <n v="70936.436349129566"/>
    <x v="184"/>
  </r>
  <r>
    <x v="5"/>
    <n v="141"/>
    <x v="7"/>
    <s v="Weekday"/>
    <n v="439205.77150801738"/>
    <n v="141847.99507788455"/>
    <n v="297357.7764301328"/>
    <n v="84768.559102220694"/>
    <x v="185"/>
  </r>
  <r>
    <x v="5"/>
    <n v="146"/>
    <x v="0"/>
    <s v="Weekday"/>
    <n v="856960.67642465525"/>
    <n v="201778.8472447235"/>
    <n v="655181.82917993178"/>
    <n v="94726.442748990448"/>
    <x v="186"/>
  </r>
  <r>
    <x v="5"/>
    <n v="156"/>
    <x v="0"/>
    <s v="Weekday"/>
    <n v="955165.18868548679"/>
    <n v="305983.74483223859"/>
    <n v="649181.44385324814"/>
    <n v="115334.07550007117"/>
    <x v="187"/>
  </r>
  <r>
    <x v="5"/>
    <n v="250"/>
    <x v="0"/>
    <s v="Weekday"/>
    <n v="2730364.3199935695"/>
    <n v="1178497.4210856643"/>
    <n v="1551866.8989079052"/>
    <n v="428363.25977491826"/>
    <x v="188"/>
  </r>
  <r>
    <x v="5"/>
    <n v="252"/>
    <x v="0"/>
    <s v="Weekday"/>
    <n v="134578.43829509523"/>
    <n v="42927.833688856423"/>
    <n v="91650.604606238805"/>
    <n v="20052.68819368261"/>
    <x v="189"/>
  </r>
  <r>
    <x v="5"/>
    <n v="261"/>
    <x v="0"/>
    <s v="Weekday"/>
    <n v="637625.25612048525"/>
    <n v="264603.74925871426"/>
    <n v="373021.50686177099"/>
    <n v="92623.87710815687"/>
    <x v="190"/>
  </r>
  <r>
    <x v="5"/>
    <n v="262"/>
    <x v="7"/>
    <s v="Weekday"/>
    <n v="240032.70814741889"/>
    <n v="40790.648659634797"/>
    <n v="199242.05948778411"/>
    <n v="23081.544469575081"/>
    <x v="191"/>
  </r>
  <r>
    <x v="5"/>
    <n v="263"/>
    <x v="0"/>
    <s v="Weekday"/>
    <n v="494562.18119042413"/>
    <n v="211374.15961358708"/>
    <n v="283188.02157683705"/>
    <n v="74728.730371274389"/>
    <x v="192"/>
  </r>
  <r>
    <x v="5"/>
    <n v="264"/>
    <x v="0"/>
    <s v="Weekday"/>
    <n v="964070.6192929449"/>
    <n v="362344.33874125831"/>
    <n v="601726.28055168665"/>
    <n v="142055.4338984499"/>
    <x v="193"/>
  </r>
  <r>
    <x v="5"/>
    <n v="265"/>
    <x v="0"/>
    <s v="Weekday"/>
    <n v="396609.32022687444"/>
    <n v="129715.88406118518"/>
    <n v="266893.43616568926"/>
    <n v="50090.229302344989"/>
    <x v="194"/>
  </r>
  <r>
    <x v="5"/>
    <n v="270"/>
    <x v="0"/>
    <s v="Weekday"/>
    <n v="2062861.3166821783"/>
    <n v="963317.9513013782"/>
    <n v="1099543.3653808001"/>
    <n v="340371.87312160246"/>
    <x v="195"/>
  </r>
  <r>
    <x v="5"/>
    <n v="272"/>
    <x v="0"/>
    <s v="Weekday"/>
    <n v="165546.67444086209"/>
    <n v="24021.911336557943"/>
    <n v="141524.76310430415"/>
    <n v="10466.150624573638"/>
    <x v="196"/>
  </r>
  <r>
    <x v="5"/>
    <n v="275"/>
    <x v="0"/>
    <s v="Weekday"/>
    <n v="704732.26872765506"/>
    <n v="273857.10851058754"/>
    <n v="430875.16021706752"/>
    <n v="103058.90934633436"/>
    <x v="197"/>
  </r>
  <r>
    <x v="5"/>
    <n v="288"/>
    <x v="0"/>
    <s v="Weekday"/>
    <n v="1134765.8317502292"/>
    <n v="396927.03925204166"/>
    <n v="737838.79249818763"/>
    <n v="139538.99371854746"/>
    <x v="198"/>
  </r>
  <r>
    <x v="5"/>
    <n v="294"/>
    <x v="0"/>
    <s v="Weekday"/>
    <n v="794054.72782393638"/>
    <n v="164547.83209057816"/>
    <n v="629506.89573335822"/>
    <n v="70717.570364809944"/>
    <x v="199"/>
  </r>
  <r>
    <x v="5"/>
    <n v="351"/>
    <x v="0"/>
    <s v="Weekday"/>
    <n v="430619.37423918245"/>
    <n v="186519.52721542286"/>
    <n v="244099.84702375959"/>
    <n v="73320.104747075078"/>
    <x v="200"/>
  </r>
  <r>
    <x v="5"/>
    <n v="353"/>
    <x v="0"/>
    <s v="Weekday"/>
    <n v="63219.481364536485"/>
    <n v="15755.854024078901"/>
    <n v="47463.627340457584"/>
    <n v="8122.9361289431272"/>
    <x v="201"/>
  </r>
  <r>
    <x v="5"/>
    <n v="355"/>
    <x v="0"/>
    <s v="Weekday"/>
    <n v="1379128.867411989"/>
    <n v="707597.71454402036"/>
    <n v="671531.15286796866"/>
    <n v="249820.48054742953"/>
    <x v="202"/>
  </r>
  <r>
    <x v="5"/>
    <n v="361"/>
    <x v="0"/>
    <s v="Weekday"/>
    <n v="461778.7553593833"/>
    <n v="134184.45585986896"/>
    <n v="327594.29949951434"/>
    <n v="51104.68869885966"/>
    <x v="203"/>
  </r>
  <r>
    <x v="5"/>
    <n v="365"/>
    <x v="0"/>
    <s v="Weekday"/>
    <n v="1222622.3876612778"/>
    <n v="469615.12617848028"/>
    <n v="753007.26148279756"/>
    <n v="162455.61074022294"/>
    <x v="204"/>
  </r>
  <r>
    <x v="5"/>
    <n v="375"/>
    <x v="0"/>
    <s v="Weekday"/>
    <n v="948039.19402706984"/>
    <n v="490558.41552410985"/>
    <n v="457480.77850295999"/>
    <n v="168915.78775606482"/>
    <x v="205"/>
  </r>
  <r>
    <x v="5"/>
    <n v="415"/>
    <x v="5"/>
    <s v="Weekday"/>
    <n v="62904.573457015409"/>
    <n v="2070.9583820097164"/>
    <n v="60833.615075005691"/>
    <n v="3053.7509850093943"/>
    <x v="206"/>
  </r>
  <r>
    <x v="5"/>
    <n v="452"/>
    <x v="0"/>
    <s v="Weekday"/>
    <n v="269926.95706273185"/>
    <n v="86741.814650299129"/>
    <n v="183185.1424124327"/>
    <n v="31286.425682694753"/>
    <x v="207"/>
  </r>
  <r>
    <x v="5"/>
    <n v="467"/>
    <x v="0"/>
    <s v="Weekday"/>
    <n v="1760798.6264715514"/>
    <n v="846560.0990867503"/>
    <n v="914238.52738480107"/>
    <n v="290882.22867670329"/>
    <x v="208"/>
  </r>
  <r>
    <x v="5"/>
    <n v="515"/>
    <x v="5"/>
    <s v="Weekday"/>
    <n v="3276392.6293363599"/>
    <n v="334540.14240893041"/>
    <n v="2941852.4869274297"/>
    <n v="375224.46588529664"/>
    <x v="209"/>
  </r>
  <r>
    <x v="5"/>
    <n v="535"/>
    <x v="0"/>
    <s v="Weekday"/>
    <n v="3715265.6160687543"/>
    <n v="576140.50284665648"/>
    <n v="3139125.113222098"/>
    <n v="366046.61645752384"/>
    <x v="210"/>
  </r>
  <r>
    <x v="5"/>
    <n v="552"/>
    <x v="0"/>
    <s v="Weekday"/>
    <n v="553702.9863378976"/>
    <n v="120431.07983524525"/>
    <n v="433271.90650265233"/>
    <n v="44282.501121275833"/>
    <x v="211"/>
  </r>
  <r>
    <x v="5"/>
    <n v="553"/>
    <x v="0"/>
    <s v="Weekday"/>
    <n v="632703.61681472824"/>
    <n v="138897.5042828657"/>
    <n v="493806.11253186257"/>
    <n v="53221.776253344768"/>
    <x v="212"/>
  </r>
  <r>
    <x v="5"/>
    <n v="554"/>
    <x v="0"/>
    <s v="Weekday"/>
    <n v="686044.06583151687"/>
    <n v="165914.65915910376"/>
    <n v="520129.40667241311"/>
    <n v="74726.655812181314"/>
    <x v="213"/>
  </r>
  <r>
    <x v="5"/>
    <n v="558"/>
    <x v="0"/>
    <s v="Weekday"/>
    <n v="569701.40815493907"/>
    <n v="96851.964076723874"/>
    <n v="472849.44407821517"/>
    <n v="38029.780014741649"/>
    <x v="214"/>
  </r>
  <r>
    <x v="5"/>
    <n v="578"/>
    <x v="0"/>
    <s v="Weekday"/>
    <n v="843463.6409996727"/>
    <n v="263110.16665091686"/>
    <n v="580353.47434875579"/>
    <n v="99808.075247482659"/>
    <x v="215"/>
  </r>
  <r>
    <x v="5"/>
    <n v="579"/>
    <x v="0"/>
    <s v="Weekday"/>
    <n v="193049.548460194"/>
    <n v="40751.086335762644"/>
    <n v="152298.46212443136"/>
    <n v="20954.084119624582"/>
    <x v="216"/>
  </r>
  <r>
    <x v="5"/>
    <n v="587"/>
    <x v="0"/>
    <s v="Weekday"/>
    <n v="426988.99486862961"/>
    <n v="166735.62372249397"/>
    <n v="260253.37114613564"/>
    <n v="58783.669181884296"/>
    <x v="217"/>
  </r>
  <r>
    <x v="5"/>
    <n v="588"/>
    <x v="0"/>
    <s v="Weekday"/>
    <n v="182026.39655324596"/>
    <n v="15507.396776303656"/>
    <n v="166518.99977694231"/>
    <n v="9253.5708346701103"/>
    <x v="218"/>
  </r>
  <r>
    <x v="5"/>
    <n v="589"/>
    <x v="0"/>
    <s v="Weekday"/>
    <n v="466092.5811493154"/>
    <n v="122277.88423674619"/>
    <n v="343814.69691256923"/>
    <n v="44277.314723543139"/>
    <x v="219"/>
  </r>
  <r>
    <x v="5"/>
    <n v="597"/>
    <x v="0"/>
    <s v="Weekday"/>
    <n v="1074452.0290258287"/>
    <n v="357446.30840442289"/>
    <n v="717005.72062140587"/>
    <n v="131302.99411903165"/>
    <x v="220"/>
  </r>
  <r>
    <x v="5"/>
    <n v="612"/>
    <x v="5"/>
    <s v="Weekday"/>
    <n v="1262192.1476565928"/>
    <n v="127212.69631488824"/>
    <n v="1134979.4513417045"/>
    <n v="155729.89016046718"/>
    <x v="221"/>
  </r>
  <r>
    <x v="5"/>
    <n v="643"/>
    <x v="0"/>
    <s v="Weekday"/>
    <n v="287561.79988392652"/>
    <n v="32462.120925514955"/>
    <n v="255099.67895841156"/>
    <n v="28360.260081909597"/>
    <x v="222"/>
  </r>
  <r>
    <x v="5"/>
    <n v="645"/>
    <x v="0"/>
    <s v="Weekday"/>
    <n v="3393509.4929165868"/>
    <n v="515340.78204485832"/>
    <n v="2878168.7108717286"/>
    <n v="373026.47052618151"/>
    <x v="223"/>
  </r>
  <r>
    <x v="5"/>
    <n v="652"/>
    <x v="0"/>
    <s v="Weekday"/>
    <n v="208335.64584013892"/>
    <n v="79892.166583884085"/>
    <n v="128443.47925625484"/>
    <n v="35499.855200734208"/>
    <x v="224"/>
  </r>
  <r>
    <x v="5"/>
    <n v="663"/>
    <x v="0"/>
    <s v="Weekday"/>
    <n v="574022.10966337775"/>
    <n v="337801.19012902334"/>
    <n v="236220.91953435441"/>
    <n v="124212.15113889433"/>
    <x v="225"/>
  </r>
  <r>
    <x v="5"/>
    <n v="664"/>
    <x v="0"/>
    <s v="Weekday"/>
    <n v="448875.78201321285"/>
    <n v="126788.34038965523"/>
    <n v="322087.44162355759"/>
    <n v="49723.032342870356"/>
    <x v="226"/>
  </r>
  <r>
    <x v="5"/>
    <n v="667"/>
    <x v="0"/>
    <s v="Weekday"/>
    <n v="771087.07773039432"/>
    <n v="285129.02435864648"/>
    <n v="485958.05337174784"/>
    <n v="104929.1243687433"/>
    <x v="227"/>
  </r>
  <r>
    <x v="5"/>
    <n v="668"/>
    <x v="0"/>
    <s v="Weekday"/>
    <n v="286691.33392121474"/>
    <n v="90146.125789316444"/>
    <n v="196545.20813189831"/>
    <n v="33534.210460043716"/>
    <x v="228"/>
  </r>
  <r>
    <x v="5"/>
    <n v="672"/>
    <x v="0"/>
    <s v="Weekday"/>
    <n v="689695.0723575817"/>
    <n v="142344.38272621203"/>
    <n v="547350.68963136966"/>
    <n v="59257.705934652397"/>
    <x v="229"/>
  </r>
  <r>
    <x v="5"/>
    <n v="673"/>
    <x v="0"/>
    <s v="Weekday"/>
    <n v="773230.92676020111"/>
    <n v="458210.08384232392"/>
    <n v="315020.84291787719"/>
    <n v="160492.04055862551"/>
    <x v="230"/>
  </r>
  <r>
    <x v="5"/>
    <n v="674"/>
    <x v="0"/>
    <s v="Weekday"/>
    <n v="304009.8936911872"/>
    <n v="73978.813840536939"/>
    <n v="230031.07985065028"/>
    <n v="26870.726653080288"/>
    <x v="231"/>
  </r>
  <r>
    <x v="5"/>
    <n v="677"/>
    <x v="0"/>
    <s v="Weekday"/>
    <n v="406711.12585417664"/>
    <n v="112180.45719511287"/>
    <n v="294530.66865906375"/>
    <n v="42850.018067506142"/>
    <x v="232"/>
  </r>
  <r>
    <x v="5"/>
    <n v="679"/>
    <x v="0"/>
    <s v="Weekday"/>
    <n v="109207.03701226129"/>
    <n v="5893.2935231545016"/>
    <n v="103313.7434891068"/>
    <n v="2649.2119618593729"/>
    <x v="233"/>
  </r>
  <r>
    <x v="5"/>
    <n v="721"/>
    <x v="5"/>
    <s v="Weekday"/>
    <n v="1306906.3202372193"/>
    <n v="246663.04028816606"/>
    <n v="1060243.2799490532"/>
    <n v="235077.62635247756"/>
    <x v="234"/>
  </r>
  <r>
    <x v="5"/>
    <n v="722"/>
    <x v="5"/>
    <s v="Weekday"/>
    <n v="1284733.5032028321"/>
    <n v="170984.02216413134"/>
    <n v="1113749.4810387008"/>
    <n v="203074.44050312473"/>
    <x v="235"/>
  </r>
  <r>
    <x v="5"/>
    <n v="723"/>
    <x v="5"/>
    <s v="Weekday"/>
    <n v="1077782.6270695706"/>
    <n v="141727.708051739"/>
    <n v="936054.91901783156"/>
    <n v="163730.42730291878"/>
    <x v="236"/>
  </r>
  <r>
    <x v="5"/>
    <n v="724"/>
    <x v="5"/>
    <s v="Weekday"/>
    <n v="2609322.7962907818"/>
    <n v="459916.27857387526"/>
    <n v="2149406.5177169065"/>
    <n v="511737.71516659122"/>
    <x v="237"/>
  </r>
  <r>
    <x v="5"/>
    <n v="755"/>
    <x v="0"/>
    <s v="Weekday"/>
    <n v="1095556.3594045658"/>
    <n v="158592.77060874683"/>
    <n v="936963.58879581897"/>
    <n v="108535.74535205774"/>
    <x v="238"/>
  </r>
  <r>
    <x v="5"/>
    <n v="756"/>
    <x v="0"/>
    <s v="Weekday"/>
    <n v="309917.51103053964"/>
    <n v="145361.94897785754"/>
    <n v="164555.5620526821"/>
    <n v="50753.050932583101"/>
    <x v="239"/>
  </r>
  <r>
    <x v="5"/>
    <n v="758"/>
    <x v="0"/>
    <s v="Weekday"/>
    <n v="597163.02786324418"/>
    <n v="290877.8934476999"/>
    <n v="306285.13441554428"/>
    <n v="108774.31964776159"/>
    <x v="240"/>
  </r>
  <r>
    <x v="5"/>
    <n v="760"/>
    <x v="0"/>
    <s v="Weekday"/>
    <n v="724142.42206679645"/>
    <n v="298175.89825728274"/>
    <n v="425966.52380951372"/>
    <n v="124622.91383932359"/>
    <x v="241"/>
  </r>
  <r>
    <x v="5"/>
    <n v="761"/>
    <x v="0"/>
    <s v="Weekday"/>
    <n v="460022.69685324776"/>
    <n v="141092.65226304281"/>
    <n v="318930.04459020495"/>
    <n v="63696.225114290719"/>
    <x v="242"/>
  </r>
  <r>
    <x v="5"/>
    <n v="762"/>
    <x v="0"/>
    <s v="Weekday"/>
    <n v="150516.35378929728"/>
    <n v="34398.850342830898"/>
    <n v="116117.50344646638"/>
    <n v="23145.855801460468"/>
    <x v="243"/>
  </r>
  <r>
    <x v="5"/>
    <n v="763"/>
    <x v="0"/>
    <s v="Weekday"/>
    <n v="424288.21263993118"/>
    <n v="117665.6392490756"/>
    <n v="306622.57339085557"/>
    <n v="48676.417280412992"/>
    <x v="244"/>
  </r>
  <r>
    <x v="5"/>
    <n v="764"/>
    <x v="0"/>
    <s v="Weekday"/>
    <n v="311061.63058974507"/>
    <n v="130385.50688156554"/>
    <n v="180676.12370817951"/>
    <n v="51911.692186066626"/>
    <x v="245"/>
  </r>
  <r>
    <x v="5"/>
    <n v="765"/>
    <x v="0"/>
    <s v="Weekday"/>
    <n v="316907.3664625528"/>
    <n v="62503.427643685529"/>
    <n v="254403.93881886726"/>
    <n v="33453.30265541371"/>
    <x v="246"/>
  </r>
  <r>
    <x v="5"/>
    <n v="766"/>
    <x v="0"/>
    <s v="Weekday"/>
    <n v="1516177.0637940096"/>
    <n v="321880.43292415835"/>
    <n v="1194296.6308698512"/>
    <n v="135159.59947306185"/>
    <x v="247"/>
  </r>
  <r>
    <x v="5"/>
    <n v="767"/>
    <x v="0"/>
    <s v="Weekday"/>
    <n v="418159.19716472214"/>
    <n v="97402.334052544553"/>
    <n v="320756.86311217758"/>
    <n v="40488.132540037936"/>
    <x v="248"/>
  </r>
  <r>
    <x v="5"/>
    <n v="768"/>
    <x v="0"/>
    <s v="Weekday"/>
    <n v="1520660.032259173"/>
    <n v="912410.42127858079"/>
    <n v="608249.6109805922"/>
    <n v="339431.06057289202"/>
    <x v="249"/>
  </r>
  <r>
    <x v="5"/>
    <n v="824"/>
    <x v="7"/>
    <s v="Weekday"/>
    <n v="281618.42880834889"/>
    <n v="80265.95493214317"/>
    <n v="201352.47387620574"/>
    <n v="40912.379874572194"/>
    <x v="250"/>
  </r>
  <r>
    <x v="5"/>
    <n v="825"/>
    <x v="7"/>
    <s v="Weekday"/>
    <n v="965458.13928721461"/>
    <n v="273539.40012228349"/>
    <n v="691918.73916493112"/>
    <n v="138891.73128150744"/>
    <x v="251"/>
  </r>
  <r>
    <x v="5"/>
    <n v="850"/>
    <x v="0"/>
    <s v="Weekday"/>
    <n v="2474652.2233677288"/>
    <n v="1281070.5264772258"/>
    <n v="1193581.6968905029"/>
    <n v="463539.48375713249"/>
    <x v="252"/>
  </r>
  <r>
    <x v="5"/>
    <n v="852"/>
    <x v="0"/>
    <s v="Weekday"/>
    <n v="2059167.6807013811"/>
    <n v="345957.08758975373"/>
    <n v="1713210.5931116273"/>
    <n v="224124.99162057735"/>
    <x v="253"/>
  </r>
  <r>
    <x v="5"/>
    <n v="854"/>
    <x v="0"/>
    <s v="Weekday"/>
    <n v="951096.13847432157"/>
    <n v="305386.31959426374"/>
    <n v="645709.81888005789"/>
    <n v="126064.73240901213"/>
    <x v="254"/>
  </r>
  <r>
    <x v="5"/>
    <n v="860"/>
    <x v="0"/>
    <s v="Weekday"/>
    <n v="946860.69587534992"/>
    <n v="268782.223366149"/>
    <n v="678078.47250920092"/>
    <n v="125251.50524452592"/>
    <x v="255"/>
  </r>
  <r>
    <x v="5"/>
    <n v="865"/>
    <x v="0"/>
    <s v="Weekday"/>
    <n v="896787.58829204843"/>
    <n v="311742.63377495832"/>
    <n v="585044.95451709011"/>
    <n v="129000.23352571613"/>
    <x v="256"/>
  </r>
  <r>
    <x v="5"/>
    <n v="921"/>
    <x v="8"/>
    <s v="Weekday"/>
    <n v="5888698.1123145726"/>
    <n v="1406324.1759258409"/>
    <n v="4482373.9363887319"/>
    <n v="1232476"/>
    <x v="257"/>
  </r>
  <r>
    <x v="5"/>
    <n v="2"/>
    <x v="7"/>
    <s v="Saturday"/>
    <n v="899508.99767626182"/>
    <n v="116567.63109785"/>
    <n v="782941.36657841178"/>
    <n v="160818.78361578516"/>
    <x v="258"/>
  </r>
  <r>
    <x v="5"/>
    <n v="3"/>
    <x v="7"/>
    <s v="Saturday"/>
    <n v="981675.20895271678"/>
    <n v="100224.47901019265"/>
    <n v="881450.72994252411"/>
    <n v="123263.04035381159"/>
    <x v="259"/>
  </r>
  <r>
    <x v="5"/>
    <n v="4"/>
    <x v="7"/>
    <s v="Saturday"/>
    <n v="1246919.8017136559"/>
    <n v="147067.72418291651"/>
    <n v="1099852.0775307394"/>
    <n v="156183.1813223045"/>
    <x v="260"/>
  </r>
  <r>
    <x v="5"/>
    <n v="5"/>
    <x v="7"/>
    <s v="Saturday"/>
    <n v="2020622.4027632892"/>
    <n v="382708.05711591325"/>
    <n v="1637914.345647376"/>
    <n v="478408.88605676213"/>
    <x v="261"/>
  </r>
  <r>
    <x v="5"/>
    <n v="6"/>
    <x v="7"/>
    <s v="Saturday"/>
    <n v="1360931.5908170936"/>
    <n v="185778.56537848199"/>
    <n v="1175153.0254386116"/>
    <n v="220674.99984879026"/>
    <x v="262"/>
  </r>
  <r>
    <x v="5"/>
    <n v="7"/>
    <x v="7"/>
    <s v="Saturday"/>
    <n v="639957.49983732391"/>
    <n v="42424.304333728789"/>
    <n v="597533.19550359517"/>
    <n v="53115.973739597837"/>
    <x v="263"/>
  </r>
  <r>
    <x v="5"/>
    <n v="9"/>
    <x v="7"/>
    <s v="Saturday"/>
    <n v="697816.67105549306"/>
    <n v="68139.512401305634"/>
    <n v="629677.15865418746"/>
    <n v="81346.573878190131"/>
    <x v="264"/>
  </r>
  <r>
    <x v="5"/>
    <n v="10"/>
    <x v="7"/>
    <s v="Saturday"/>
    <n v="1331449.8850120723"/>
    <n v="179688.98223905513"/>
    <n v="1151760.9027730171"/>
    <n v="233790.36243522327"/>
    <x v="265"/>
  </r>
  <r>
    <x v="5"/>
    <n v="11"/>
    <x v="7"/>
    <s v="Saturday"/>
    <n v="971114.10532929306"/>
    <n v="99484.190366925453"/>
    <n v="871629.91496236762"/>
    <n v="118021.66680515248"/>
    <x v="266"/>
  </r>
  <r>
    <x v="5"/>
    <n v="14"/>
    <x v="7"/>
    <s v="Saturday"/>
    <n v="964835.19919067959"/>
    <n v="107261.07978931753"/>
    <n v="857574.11940136203"/>
    <n v="133117.1960459275"/>
    <x v="267"/>
  </r>
  <r>
    <x v="5"/>
    <n v="16"/>
    <x v="6"/>
    <s v="Saturday"/>
    <n v="372541.55517255847"/>
    <n v="13238.343838461513"/>
    <n v="359303.21133409697"/>
    <n v="24089.78018881052"/>
    <x v="268"/>
  </r>
  <r>
    <x v="5"/>
    <n v="17"/>
    <x v="7"/>
    <s v="Saturday"/>
    <n v="876281.44542323577"/>
    <n v="124783.15985907489"/>
    <n v="751498.28556416091"/>
    <n v="150222.97304789419"/>
    <x v="269"/>
  </r>
  <r>
    <x v="5"/>
    <n v="18"/>
    <x v="7"/>
    <s v="Saturday"/>
    <n v="1652530.8126070586"/>
    <n v="228387.64674101837"/>
    <n v="1424143.1658660402"/>
    <n v="330072.72450402152"/>
    <x v="270"/>
  </r>
  <r>
    <x v="5"/>
    <n v="19"/>
    <x v="7"/>
    <s v="Saturday"/>
    <n v="915852.58056224894"/>
    <n v="151705.2090551389"/>
    <n v="764147.37150711007"/>
    <n v="186948.89267263692"/>
    <x v="271"/>
  </r>
  <r>
    <x v="5"/>
    <n v="21"/>
    <x v="7"/>
    <s v="Saturday"/>
    <n v="1924329.3402468034"/>
    <n v="283673.99916242558"/>
    <n v="1640655.3410843778"/>
    <n v="433083.91899121512"/>
    <x v="272"/>
  </r>
  <r>
    <x v="5"/>
    <n v="22"/>
    <x v="7"/>
    <s v="Saturday"/>
    <n v="1131684.1347163571"/>
    <n v="144312.55711759455"/>
    <n v="987371.57759876258"/>
    <n v="175112.49576708593"/>
    <x v="273"/>
  </r>
  <r>
    <x v="5"/>
    <n v="23"/>
    <x v="6"/>
    <s v="Saturday"/>
    <n v="511450.32098199677"/>
    <n v="42937.775491082255"/>
    <n v="468512.54549091449"/>
    <n v="51007.184421485043"/>
    <x v="274"/>
  </r>
  <r>
    <x v="5"/>
    <n v="25"/>
    <x v="7"/>
    <s v="Saturday"/>
    <n v="149808.1547832998"/>
    <n v="9075.6166091352188"/>
    <n v="140732.5381741646"/>
    <n v="9581.3511713762819"/>
    <x v="275"/>
  </r>
  <r>
    <x v="5"/>
    <n v="32"/>
    <x v="6"/>
    <s v="Saturday"/>
    <n v="336118.12396505638"/>
    <n v="35016.266505988053"/>
    <n v="301101.8574590683"/>
    <n v="46003.347888983233"/>
    <x v="276"/>
  </r>
  <r>
    <x v="5"/>
    <n v="46"/>
    <x v="6"/>
    <s v="Saturday"/>
    <n v="397140.12569544825"/>
    <n v="20759.8782170296"/>
    <n v="376380.24747841863"/>
    <n v="25340.739321935973"/>
    <x v="277"/>
  </r>
  <r>
    <x v="5"/>
    <n v="54"/>
    <x v="7"/>
    <s v="Saturday"/>
    <n v="1013024.3599036513"/>
    <n v="161761.57128267162"/>
    <n v="851262.78862097964"/>
    <n v="176793.92591202483"/>
    <x v="278"/>
  </r>
  <r>
    <x v="5"/>
    <n v="61"/>
    <x v="7"/>
    <s v="Saturday"/>
    <n v="287460.03925005492"/>
    <n v="26988.519754027286"/>
    <n v="260471.51949602764"/>
    <n v="31527.074537491684"/>
    <x v="279"/>
  </r>
  <r>
    <x v="5"/>
    <n v="62"/>
    <x v="7"/>
    <s v="Saturday"/>
    <n v="691805.91793856851"/>
    <n v="66364.271414256553"/>
    <n v="625441.64652431197"/>
    <n v="82464.761229358643"/>
    <x v="280"/>
  </r>
  <r>
    <x v="5"/>
    <n v="63"/>
    <x v="7"/>
    <s v="Saturday"/>
    <n v="986308.06808127218"/>
    <n v="117419.34792877251"/>
    <n v="868888.72015249962"/>
    <n v="137489.32933458735"/>
    <x v="281"/>
  </r>
  <r>
    <x v="5"/>
    <n v="64"/>
    <x v="7"/>
    <s v="Saturday"/>
    <n v="939863.96472482709"/>
    <n v="115731.1635671023"/>
    <n v="824132.80115772481"/>
    <n v="147087.27697870825"/>
    <x v="282"/>
  </r>
  <r>
    <x v="5"/>
    <n v="65"/>
    <x v="6"/>
    <s v="Saturday"/>
    <n v="444770.97806582815"/>
    <n v="28679.465185402991"/>
    <n v="416091.51288042514"/>
    <n v="32822.636691118299"/>
    <x v="283"/>
  </r>
  <r>
    <x v="5"/>
    <n v="67"/>
    <x v="7"/>
    <s v="Saturday"/>
    <n v="488127.88381360378"/>
    <n v="23114.729200773552"/>
    <n v="465013.15461283026"/>
    <n v="28820.812200572695"/>
    <x v="284"/>
  </r>
  <r>
    <x v="5"/>
    <n v="68"/>
    <x v="7"/>
    <s v="Saturday"/>
    <n v="803213.1848723765"/>
    <n v="89338.908035873421"/>
    <n v="713874.27683650306"/>
    <n v="104873.11127323023"/>
    <x v="285"/>
  </r>
  <r>
    <x v="5"/>
    <n v="70"/>
    <x v="7"/>
    <s v="Saturday"/>
    <n v="77255.573120302768"/>
    <n v="5745.4250692441274"/>
    <n v="71510.148051058641"/>
    <n v="6716.3850638368986"/>
    <x v="286"/>
  </r>
  <r>
    <x v="5"/>
    <n v="71"/>
    <x v="7"/>
    <s v="Saturday"/>
    <n v="427606.4343903634"/>
    <n v="23261.524447377895"/>
    <n v="404344.90994298551"/>
    <n v="32239.685585963645"/>
    <x v="287"/>
  </r>
  <r>
    <x v="5"/>
    <n v="74"/>
    <x v="7"/>
    <s v="Saturday"/>
    <n v="933274.27610979637"/>
    <n v="101795.25449258354"/>
    <n v="831479.0216172128"/>
    <n v="126954.71825994216"/>
    <x v="288"/>
  </r>
  <r>
    <x v="5"/>
    <n v="84"/>
    <x v="6"/>
    <s v="Saturday"/>
    <n v="330723.43522616441"/>
    <n v="21444.984491906896"/>
    <n v="309278.45073425752"/>
    <n v="28075.008206611503"/>
    <x v="289"/>
  </r>
  <r>
    <x v="5"/>
    <n v="94"/>
    <x v="0"/>
    <s v="Saturday"/>
    <n v="14177.731556965482"/>
    <n v="459.10832908817821"/>
    <n v="13718.623227877304"/>
    <n v="504.11785961771932"/>
    <x v="290"/>
  </r>
  <r>
    <x v="5"/>
    <n v="515"/>
    <x v="5"/>
    <s v="Saturday"/>
    <n v="530696.83222072537"/>
    <n v="48523.575608199986"/>
    <n v="482173.25661252538"/>
    <n v="59413.297866633176"/>
    <x v="291"/>
  </r>
  <r>
    <x v="5"/>
    <n v="535"/>
    <x v="0"/>
    <s v="Saturday"/>
    <n v="295999.68163305748"/>
    <n v="7218.8606489783824"/>
    <n v="288780.8209840791"/>
    <n v="7814.8641036211875"/>
    <x v="292"/>
  </r>
  <r>
    <x v="5"/>
    <n v="612"/>
    <x v="5"/>
    <s v="Saturday"/>
    <n v="385687.92895379913"/>
    <n v="29806.976781114674"/>
    <n v="355880.95217268448"/>
    <n v="37756.975494002021"/>
    <x v="293"/>
  </r>
  <r>
    <x v="5"/>
    <n v="645"/>
    <x v="0"/>
    <s v="Saturday"/>
    <n v="217941.02459139016"/>
    <n v="19732.818825162023"/>
    <n v="198208.20576622814"/>
    <n v="21325.430197285372"/>
    <x v="294"/>
  </r>
  <r>
    <x v="5"/>
    <n v="721"/>
    <x v="5"/>
    <s v="Saturday"/>
    <n v="165092.87701954329"/>
    <n v="16517.577544176445"/>
    <n v="148575.29947536683"/>
    <n v="22301.510250578118"/>
    <x v="295"/>
  </r>
  <r>
    <x v="5"/>
    <n v="722"/>
    <x v="5"/>
    <s v="Saturday"/>
    <n v="249774.22612506535"/>
    <n v="26830.065573507472"/>
    <n v="222944.16055155787"/>
    <n v="32522.862902168665"/>
    <x v="296"/>
  </r>
  <r>
    <x v="5"/>
    <n v="723"/>
    <x v="5"/>
    <s v="Saturday"/>
    <n v="92067.245923413837"/>
    <n v="13071.664987405511"/>
    <n v="78995.580936008322"/>
    <n v="15872.45162113239"/>
    <x v="297"/>
  </r>
  <r>
    <x v="5"/>
    <n v="724"/>
    <x v="5"/>
    <s v="Saturday"/>
    <n v="281713.31372371531"/>
    <n v="50763.300717297432"/>
    <n v="230950.0130064179"/>
    <n v="59207.916516418547"/>
    <x v="298"/>
  </r>
  <r>
    <x v="5"/>
    <n v="852"/>
    <x v="0"/>
    <s v="Saturday"/>
    <n v="180520.61420068741"/>
    <n v="18399.729491765898"/>
    <n v="162120.88470892151"/>
    <n v="15852.743309748155"/>
    <x v="299"/>
  </r>
  <r>
    <x v="5"/>
    <n v="921"/>
    <x v="8"/>
    <s v="Saturday"/>
    <n v="1141729.5594519179"/>
    <n v="192557.91646902473"/>
    <n v="949171.64298289316"/>
    <n v="207630"/>
    <x v="300"/>
  </r>
  <r>
    <x v="5"/>
    <n v="2"/>
    <x v="7"/>
    <s v="Sunday"/>
    <n v="862044.58268712903"/>
    <n v="104537.65039096378"/>
    <n v="757506.93229616527"/>
    <n v="137876.23460544623"/>
    <x v="301"/>
  </r>
  <r>
    <x v="5"/>
    <n v="3"/>
    <x v="7"/>
    <s v="Sunday"/>
    <n v="705975.3986333278"/>
    <n v="80411.920882192848"/>
    <n v="625563.47775113489"/>
    <n v="93079.242829087292"/>
    <x v="302"/>
  </r>
  <r>
    <x v="5"/>
    <n v="4"/>
    <x v="7"/>
    <s v="Sunday"/>
    <n v="1003043.566922036"/>
    <n v="114712.73861583322"/>
    <n v="888330.82830620278"/>
    <n v="114865.22514503576"/>
    <x v="303"/>
  </r>
  <r>
    <x v="5"/>
    <n v="5"/>
    <x v="7"/>
    <s v="Sunday"/>
    <n v="1739631.03948258"/>
    <n v="351626.81251820276"/>
    <n v="1388004.2269643773"/>
    <n v="413412.94967065862"/>
    <x v="304"/>
  </r>
  <r>
    <x v="5"/>
    <n v="6"/>
    <x v="7"/>
    <s v="Sunday"/>
    <n v="1326568.1248736414"/>
    <n v="162164.74599825568"/>
    <n v="1164403.3788753857"/>
    <n v="187796.35006215889"/>
    <x v="305"/>
  </r>
  <r>
    <x v="5"/>
    <n v="7"/>
    <x v="7"/>
    <s v="Sunday"/>
    <n v="706716.60108814889"/>
    <n v="38869.119760344227"/>
    <n v="667847.48132780462"/>
    <n v="45622.6662954036"/>
    <x v="306"/>
  </r>
  <r>
    <x v="5"/>
    <n v="9"/>
    <x v="7"/>
    <s v="Sunday"/>
    <n v="727891.06379563164"/>
    <n v="64263.653484880291"/>
    <n v="663627.41031075129"/>
    <n v="75457.937892490954"/>
    <x v="307"/>
  </r>
  <r>
    <x v="5"/>
    <n v="10"/>
    <x v="7"/>
    <s v="Sunday"/>
    <n v="1005678.3422530883"/>
    <n v="145250.30614874061"/>
    <n v="860428.03610434767"/>
    <n v="177924.56061775185"/>
    <x v="308"/>
  </r>
  <r>
    <x v="5"/>
    <n v="11"/>
    <x v="7"/>
    <s v="Sunday"/>
    <n v="670253.29071331886"/>
    <n v="71820.750050998089"/>
    <n v="598432.5406623208"/>
    <n v="81074.806636997033"/>
    <x v="309"/>
  </r>
  <r>
    <x v="5"/>
    <n v="14"/>
    <x v="7"/>
    <s v="Sunday"/>
    <n v="941573.2683451284"/>
    <n v="96539.494891359165"/>
    <n v="845033.77345376927"/>
    <n v="109726.54227148395"/>
    <x v="310"/>
  </r>
  <r>
    <x v="5"/>
    <n v="16"/>
    <x v="6"/>
    <s v="Sunday"/>
    <n v="366332.78136269422"/>
    <n v="11934.172563747783"/>
    <n v="354398.60879894643"/>
    <n v="19928.21464809799"/>
    <x v="311"/>
  </r>
  <r>
    <x v="5"/>
    <n v="17"/>
    <x v="7"/>
    <s v="Sunday"/>
    <n v="735342.96751117066"/>
    <n v="107155.56399827501"/>
    <n v="628187.40351289569"/>
    <n v="123921.71286586356"/>
    <x v="312"/>
  </r>
  <r>
    <x v="5"/>
    <n v="18"/>
    <x v="7"/>
    <s v="Sunday"/>
    <n v="1410471.1426444161"/>
    <n v="213977.10685719425"/>
    <n v="1196494.0357872217"/>
    <n v="290215.257928279"/>
    <x v="313"/>
  </r>
  <r>
    <x v="5"/>
    <n v="19"/>
    <x v="7"/>
    <s v="Sunday"/>
    <n v="894079.93034484645"/>
    <n v="139526.07204557545"/>
    <n v="754553.85829927097"/>
    <n v="166353.70727611467"/>
    <x v="314"/>
  </r>
  <r>
    <x v="5"/>
    <n v="21"/>
    <x v="7"/>
    <s v="Sunday"/>
    <n v="1536798.7187337126"/>
    <n v="245127.97333977566"/>
    <n v="1291670.745393937"/>
    <n v="351311.02321939764"/>
    <x v="315"/>
  </r>
  <r>
    <x v="5"/>
    <n v="22"/>
    <x v="7"/>
    <s v="Sunday"/>
    <n v="905437.2421711284"/>
    <n v="124270.32286967496"/>
    <n v="781166.9193014534"/>
    <n v="146195.21656868514"/>
    <x v="316"/>
  </r>
  <r>
    <x v="5"/>
    <n v="23"/>
    <x v="6"/>
    <s v="Sunday"/>
    <n v="458206.13202427147"/>
    <n v="34863.2173877186"/>
    <n v="423342.91463655286"/>
    <n v="39295.261061518642"/>
    <x v="317"/>
  </r>
  <r>
    <x v="5"/>
    <n v="32"/>
    <x v="6"/>
    <s v="Sunday"/>
    <n v="336404.15385485749"/>
    <n v="27889.867544638917"/>
    <n v="308514.28631021857"/>
    <n v="35150.291993550731"/>
    <x v="318"/>
  </r>
  <r>
    <x v="5"/>
    <n v="46"/>
    <x v="6"/>
    <s v="Sunday"/>
    <n v="352090.41805178323"/>
    <n v="14301.033712889179"/>
    <n v="337789.38433889404"/>
    <n v="17664.870677550945"/>
    <x v="319"/>
  </r>
  <r>
    <x v="5"/>
    <n v="54"/>
    <x v="7"/>
    <s v="Sunday"/>
    <n v="733791.80541647994"/>
    <n v="137335.25592034269"/>
    <n v="596456.5494961373"/>
    <n v="138096.13786931237"/>
    <x v="320"/>
  </r>
  <r>
    <x v="5"/>
    <n v="62"/>
    <x v="7"/>
    <s v="Sunday"/>
    <n v="469148.15045286232"/>
    <n v="52060.330285211065"/>
    <n v="417087.82016765128"/>
    <n v="60854.07915677518"/>
    <x v="321"/>
  </r>
  <r>
    <x v="5"/>
    <n v="63"/>
    <x v="7"/>
    <s v="Sunday"/>
    <n v="1028903.144218713"/>
    <n v="98809.884460118803"/>
    <n v="930093.25975859421"/>
    <n v="112962.85445668412"/>
    <x v="322"/>
  </r>
  <r>
    <x v="5"/>
    <n v="64"/>
    <x v="7"/>
    <s v="Sunday"/>
    <n v="723134.44173398858"/>
    <n v="105570.95389806642"/>
    <n v="617563.48783592216"/>
    <n v="127489.95450595605"/>
    <x v="323"/>
  </r>
  <r>
    <x v="5"/>
    <n v="65"/>
    <x v="6"/>
    <s v="Sunday"/>
    <n v="453566.3971772106"/>
    <n v="23938.191410257801"/>
    <n v="429628.20576695283"/>
    <n v="26628.003239190268"/>
    <x v="324"/>
  </r>
  <r>
    <x v="5"/>
    <n v="67"/>
    <x v="7"/>
    <s v="Sunday"/>
    <n v="436675.50709823787"/>
    <n v="18727.467490166357"/>
    <n v="417948.0396080715"/>
    <n v="22981.965633107382"/>
    <x v="325"/>
  </r>
  <r>
    <x v="5"/>
    <n v="68"/>
    <x v="7"/>
    <s v="Sunday"/>
    <n v="540991.1579661608"/>
    <n v="70043.733393679038"/>
    <n v="470947.42457248177"/>
    <n v="83590.20953735293"/>
    <x v="326"/>
  </r>
  <r>
    <x v="5"/>
    <n v="70"/>
    <x v="7"/>
    <s v="Sunday"/>
    <n v="85580.693085954466"/>
    <n v="4558.730968820103"/>
    <n v="81021.962117134361"/>
    <n v="5427.0465874895208"/>
    <x v="327"/>
  </r>
  <r>
    <x v="5"/>
    <n v="71"/>
    <x v="7"/>
    <s v="Sunday"/>
    <n v="147134.87542862067"/>
    <n v="12056.391363044118"/>
    <n v="135078.48406557654"/>
    <n v="14009.497555549211"/>
    <x v="328"/>
  </r>
  <r>
    <x v="5"/>
    <n v="74"/>
    <x v="7"/>
    <s v="Sunday"/>
    <n v="768042.50957645499"/>
    <n v="82492.382027075917"/>
    <n v="685550.12754937913"/>
    <n v="96379.866346172857"/>
    <x v="329"/>
  </r>
  <r>
    <x v="5"/>
    <n v="84"/>
    <x v="6"/>
    <s v="Sunday"/>
    <n v="259683.51163423082"/>
    <n v="15025.643773058315"/>
    <n v="244657.8678611725"/>
    <n v="19468.699808981426"/>
    <x v="330"/>
  </r>
  <r>
    <x v="5"/>
    <n v="94"/>
    <x v="0"/>
    <s v="Sunday"/>
    <n v="7059.987760762443"/>
    <n v="116.7551984656529"/>
    <n v="6943.2325622967901"/>
    <n v="185.67303883039455"/>
    <x v="331"/>
  </r>
  <r>
    <x v="5"/>
    <n v="515"/>
    <x v="5"/>
    <s v="Sunday"/>
    <n v="436931.2838266177"/>
    <n v="39433.968278366199"/>
    <n v="397497.3155482515"/>
    <n v="45600.883424926287"/>
    <x v="332"/>
  </r>
  <r>
    <x v="5"/>
    <n v="535"/>
    <x v="0"/>
    <s v="Sunday"/>
    <n v="310775.60069994314"/>
    <n v="5810.0516619270466"/>
    <n v="304965.54903801612"/>
    <n v="6276.5785361045673"/>
    <x v="333"/>
  </r>
  <r>
    <x v="5"/>
    <n v="612"/>
    <x v="5"/>
    <s v="Sunday"/>
    <n v="278100.81122127653"/>
    <n v="22601.316582000418"/>
    <n v="255499.49463927612"/>
    <n v="26550.207273199885"/>
    <x v="334"/>
  </r>
  <r>
    <x v="5"/>
    <n v="645"/>
    <x v="0"/>
    <s v="Sunday"/>
    <n v="179585.51648403"/>
    <n v="13333.0592614334"/>
    <n v="166252.4572225966"/>
    <n v="15931.576555285083"/>
    <x v="335"/>
  </r>
  <r>
    <x v="5"/>
    <n v="721"/>
    <x v="5"/>
    <s v="Sunday"/>
    <n v="189248.65127072236"/>
    <n v="16873.911639067486"/>
    <n v="172374.73963165487"/>
    <n v="21002.836258311891"/>
    <x v="336"/>
  </r>
  <r>
    <x v="5"/>
    <n v="722"/>
    <x v="5"/>
    <s v="Sunday"/>
    <n v="243184.53751003373"/>
    <n v="21984.59312537713"/>
    <n v="221199.94438465658"/>
    <n v="25544.04611305752"/>
    <x v="337"/>
  </r>
  <r>
    <x v="5"/>
    <n v="723"/>
    <x v="5"/>
    <s v="Sunday"/>
    <n v="92178.632563192135"/>
    <n v="9907.5961820573011"/>
    <n v="82271.036381134836"/>
    <n v="11476.460902902154"/>
    <x v="338"/>
  </r>
  <r>
    <x v="5"/>
    <n v="724"/>
    <x v="5"/>
    <s v="Sunday"/>
    <n v="283997.42741102085"/>
    <n v="46363.619071230503"/>
    <n v="237633.80833979035"/>
    <n v="49609.968872297657"/>
    <x v="339"/>
  </r>
  <r>
    <x v="5"/>
    <n v="921"/>
    <x v="8"/>
    <s v="Sunday"/>
    <n v="1188012.7709953506"/>
    <n v="156754.95725462338"/>
    <n v="1031257.8137407271"/>
    <n v="178097"/>
    <x v="340"/>
  </r>
  <r>
    <x v="5"/>
    <n v="888"/>
    <x v="9"/>
    <s v="Weekday"/>
    <n v="14663149.584095674"/>
    <n v="2380000.7303388626"/>
    <n v="12283148.853756811"/>
    <n v="712027.6"/>
    <x v="341"/>
  </r>
  <r>
    <x v="5"/>
    <n v="888"/>
    <x v="9"/>
    <s v="Saturday"/>
    <n v="844680.00097318634"/>
    <n v="137101.44656774972"/>
    <n v="707578.55440543662"/>
    <n v="41016.800000000003"/>
    <x v="342"/>
  </r>
  <r>
    <x v="5"/>
    <n v="888"/>
    <x v="9"/>
    <s v="Sunday"/>
    <n v="706003.28493113932"/>
    <n v="114592.59309338736"/>
    <n v="591410.69183775201"/>
    <n v="34282.800000000003"/>
    <x v="343"/>
  </r>
  <r>
    <x v="5"/>
    <s v="Blue Line"/>
    <x v="10"/>
    <s v="Weekday"/>
    <n v="27155242.92455402"/>
    <n v="8826846.3091392312"/>
    <n v="18328396.615414791"/>
    <n v="8328955"/>
    <x v="344"/>
  </r>
  <r>
    <x v="5"/>
    <s v="Green Line"/>
    <x v="10"/>
    <s v="Weekday"/>
    <n v="26528309.07909501"/>
    <n v="11622083.508550052"/>
    <n v="14906225.570544958"/>
    <n v="10770751"/>
    <x v="345"/>
  </r>
  <r>
    <x v="5"/>
    <s v="Blue Line"/>
    <x v="10"/>
    <s v="Saturday"/>
    <n v="5033693.1533778803"/>
    <n v="1545492.381489211"/>
    <n v="3488200.7718886696"/>
    <n v="1458316.6"/>
    <x v="346"/>
  </r>
  <r>
    <x v="5"/>
    <s v="Green Line"/>
    <x v="10"/>
    <s v="Saturday"/>
    <n v="4684535.5463040872"/>
    <n v="1817329.2997799932"/>
    <n v="2867206.2465240937"/>
    <n v="1684207.6"/>
    <x v="347"/>
  </r>
  <r>
    <x v="5"/>
    <s v="Blue Line"/>
    <x v="10"/>
    <s v="Sunday"/>
    <n v="4926987.1223446922"/>
    <n v="1454166.6167825595"/>
    <n v="3472820.5055621327"/>
    <n v="1372142.2"/>
    <x v="348"/>
  </r>
  <r>
    <x v="5"/>
    <s v="Green Line"/>
    <x v="10"/>
    <s v="Sunday"/>
    <n v="4794911.7293242998"/>
    <n v="1447258.9742589551"/>
    <n v="3347652.7550653447"/>
    <n v="1341245.3999999999"/>
    <x v="349"/>
  </r>
  <r>
    <x v="4"/>
    <n v="903"/>
    <x v="11"/>
    <s v="Saturday"/>
    <n v="330745"/>
    <n v="29050"/>
    <n v="301695"/>
    <n v="34013"/>
    <x v="350"/>
  </r>
  <r>
    <x v="4"/>
    <n v="903"/>
    <x v="11"/>
    <s v="Sunday"/>
    <n v="355246"/>
    <n v="25595"/>
    <n v="329651"/>
    <n v="29968"/>
    <x v="351"/>
  </r>
  <r>
    <x v="4"/>
    <n v="903"/>
    <x v="11"/>
    <s v="Weekday"/>
    <n v="2116595"/>
    <n v="162399"/>
    <n v="1954196"/>
    <n v="190144"/>
    <x v="35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x v="0"/>
    <n v="416"/>
    <x v="0"/>
    <x v="0"/>
    <n v="250764.65768326345"/>
    <n v="5351.9923228285734"/>
    <n v="245412.66536043488"/>
    <n v="6818"/>
    <n v="1665.0000000000007"/>
    <s v="35W@94 Construction Service new Route 416 between Eagan &amp; 46th Street LRT from July to December 2018"/>
    <n v="2.1342689884108722E-2"/>
  </r>
  <r>
    <x v="0"/>
    <n v="460"/>
    <x v="0"/>
    <x v="0"/>
    <n v="2245372.829993635"/>
    <n v="1034817.5589223363"/>
    <n v="1210555.2710712985"/>
    <n v="395097"/>
    <n v="9565.0190000000039"/>
    <s v="35W@94 Construction service Route 460 extension to Heart of the City from July 2018 through February 2019"/>
    <n v="0.46086669665690655"/>
  </r>
  <r>
    <x v="0"/>
    <n v="464"/>
    <x v="0"/>
    <x v="0"/>
    <n v="919709.48971065914"/>
    <n v="141772.63268813721"/>
    <n v="777936.8570225219"/>
    <n v="54608"/>
    <n v="4819.6499999999996"/>
    <m/>
    <n v="0.15414936376565921"/>
  </r>
  <r>
    <x v="0"/>
    <n v="465"/>
    <x v="0"/>
    <x v="0"/>
    <n v="2145379.2843280286"/>
    <n v="495713.35156860796"/>
    <n v="1649665.9327594205"/>
    <n v="231204"/>
    <n v="11820.544999999996"/>
    <m/>
    <n v="0.23106093882316681"/>
  </r>
  <r>
    <x v="0"/>
    <n v="470"/>
    <x v="0"/>
    <x v="0"/>
    <n v="679748.68632844498"/>
    <n v="267353.93378234422"/>
    <n v="412394.75254610076"/>
    <n v="103128"/>
    <n v="3449.1490000000003"/>
    <m/>
    <n v="0.39331290984380451"/>
  </r>
  <r>
    <x v="0"/>
    <n v="472"/>
    <x v="0"/>
    <x v="0"/>
    <n v="697527.94462215272"/>
    <n v="222100.24874315257"/>
    <n v="475427.69587900012"/>
    <n v="70428"/>
    <n v="3748.1949999999997"/>
    <m/>
    <n v="0.31841053889742454"/>
  </r>
  <r>
    <x v="0"/>
    <n v="475"/>
    <x v="0"/>
    <x v="0"/>
    <n v="759219.08783698268"/>
    <n v="139956.40945427879"/>
    <n v="619262.67838270392"/>
    <n v="57878"/>
    <n v="4233.4490000000005"/>
    <m/>
    <n v="0.18434258529117728"/>
  </r>
  <r>
    <x v="0"/>
    <n v="476"/>
    <x v="0"/>
    <x v="0"/>
    <n v="892679.23542067828"/>
    <n v="255373.17631088529"/>
    <n v="637306.05910979304"/>
    <n v="92676"/>
    <n v="5009.146999999999"/>
    <m/>
    <n v="0.28607495971443736"/>
  </r>
  <r>
    <x v="0"/>
    <n v="477"/>
    <x v="0"/>
    <x v="0"/>
    <n v="1787334.0777111806"/>
    <n v="902981.20012595097"/>
    <n v="884352.87758522958"/>
    <n v="349669"/>
    <n v="8924.3990000000013"/>
    <m/>
    <n v="0.50521120331476488"/>
  </r>
  <r>
    <x v="0"/>
    <n v="478"/>
    <x v="0"/>
    <x v="0"/>
    <n v="618223.22251174808"/>
    <n v="110208.09586280129"/>
    <n v="508015.12664894678"/>
    <n v="39323"/>
    <n v="3348.1509999999998"/>
    <s v="Route 478 one trip added August 2018"/>
    <n v="0.17826586231271344"/>
  </r>
  <r>
    <x v="0"/>
    <n v="479"/>
    <x v="0"/>
    <x v="0"/>
    <n v="197955.94037387747"/>
    <n v="30896.067999121897"/>
    <n v="167059.87237475556"/>
    <n v="11297"/>
    <n v="1091.9480000000001"/>
    <m/>
    <n v="0.15607547791073503"/>
  </r>
  <r>
    <x v="0"/>
    <n v="480"/>
    <x v="0"/>
    <x v="0"/>
    <n v="945571.13104613195"/>
    <n v="355468.09623588074"/>
    <n v="590103.03481025121"/>
    <n v="134129"/>
    <n v="4964.244999999999"/>
    <m/>
    <n v="0.37592951451744183"/>
  </r>
  <r>
    <x v="0"/>
    <n v="484"/>
    <x v="0"/>
    <x v="0"/>
    <n v="494373.06111402984"/>
    <n v="140230.40898929286"/>
    <n v="354142.65212473698"/>
    <n v="54999"/>
    <n v="2626.6459999999993"/>
    <m/>
    <n v="0.28365301433151502"/>
  </r>
  <r>
    <x v="0"/>
    <n v="490"/>
    <x v="0"/>
    <x v="0"/>
    <n v="1071269.2566856577"/>
    <n v="325989.70559116127"/>
    <n v="745279.55109449639"/>
    <n v="127797"/>
    <n v="6388.8509999999987"/>
    <s v="Route 490 re-alignment on select trips November 2018"/>
    <n v="0.30430230640588274"/>
  </r>
  <r>
    <x v="0"/>
    <n v="491"/>
    <x v="0"/>
    <x v="0"/>
    <n v="243300.11351541901"/>
    <n v="14296.858439140799"/>
    <n v="229003.2550762782"/>
    <n v="7986"/>
    <n v="1551.6489999999997"/>
    <s v="Route 492 re-alignment to serve Marschall Road in November 2018"/>
    <n v="5.8762234972137582E-2"/>
  </r>
  <r>
    <x v="0"/>
    <n v="492"/>
    <x v="0"/>
    <x v="0"/>
    <n v="129491.26530883087"/>
    <n v="10520.049849383762"/>
    <n v="118971.21545944711"/>
    <n v="3805"/>
    <n v="956.43399999999997"/>
    <s v="Route 493 select trips eliminated November 2018"/>
    <n v="8.1241385851732267E-2"/>
  </r>
  <r>
    <x v="0"/>
    <n v="493"/>
    <x v="0"/>
    <x v="0"/>
    <n v="1028433.0603402476"/>
    <n v="181005.26896017202"/>
    <n v="847427.79138007551"/>
    <n v="72994"/>
    <n v="5317.8940000000002"/>
    <m/>
    <n v="0.17600102130155956"/>
  </r>
  <r>
    <x v="0"/>
    <n v="495"/>
    <x v="0"/>
    <x v="0"/>
    <n v="1051880.9583371307"/>
    <n v="90037.314212092009"/>
    <n v="961843.64412503876"/>
    <n v="78774"/>
    <n v="6689.3410000000003"/>
    <s v="Route 495 direct service to Mystic Lake added February 2018; one trip added August 2018"/>
    <n v="8.5596486464046065E-2"/>
  </r>
  <r>
    <x v="0"/>
    <n v="465"/>
    <x v="0"/>
    <x v="1"/>
    <n v="77692.432161609904"/>
    <n v="1248.6405341114744"/>
    <n v="76443.791627498431"/>
    <n v="883"/>
    <n v="254.71800000000002"/>
    <m/>
    <n v="1.60715850871311E-2"/>
  </r>
  <r>
    <x v="0"/>
    <n v="495"/>
    <x v="0"/>
    <x v="1"/>
    <n v="238298.54153284617"/>
    <n v="18904.892469571667"/>
    <n v="219393.6490632745"/>
    <n v="17688"/>
    <n v="1422.8980000000001"/>
    <s v="Route 495 direct service to Mystic Lake added February 2018; one trip added August 2018"/>
    <n v="7.9332808115260278E-2"/>
  </r>
  <r>
    <x v="0"/>
    <n v="465"/>
    <x v="0"/>
    <x v="2"/>
    <n v="83447.776197980158"/>
    <n v="1028.260308030156"/>
    <n v="82419.515889950009"/>
    <n v="676"/>
    <n v="273.58600000000001"/>
    <m/>
    <n v="1.232220143998331E-2"/>
  </r>
  <r>
    <x v="0"/>
    <n v="495"/>
    <x v="0"/>
    <x v="2"/>
    <n v="255925.50774113712"/>
    <n v="15518.413233593816"/>
    <n v="240407.09450754331"/>
    <n v="16014"/>
    <n v="1527.3590000000004"/>
    <s v="Route 495 direct service to Mystic Lake added February 2018; one trip added August 2018"/>
    <n v="6.0636446013385824E-2"/>
  </r>
  <r>
    <x v="1"/>
    <n v="742"/>
    <x v="0"/>
    <x v="0"/>
    <n v="315804.85951476434"/>
    <n v="60828.149344447069"/>
    <n v="254976.71017031727"/>
    <n v="25861"/>
    <n v="2082.37"/>
    <m/>
    <n v="0.19261308846833392"/>
  </r>
  <r>
    <x v="1"/>
    <n v="747"/>
    <x v="0"/>
    <x v="0"/>
    <n v="458481.7363876896"/>
    <n v="142791.27285302681"/>
    <n v="315690.46353466279"/>
    <n v="60736"/>
    <n v="2762.369999999999"/>
    <m/>
    <n v="0.31144375341547587"/>
  </r>
  <r>
    <x v="1"/>
    <n v="772"/>
    <x v="0"/>
    <x v="0"/>
    <n v="287526.72877666721"/>
    <n v="147013.90173900963"/>
    <n v="140512.82703765758"/>
    <n v="62493"/>
    <n v="2118.7000000000007"/>
    <m/>
    <n v="0.51130516583451568"/>
  </r>
  <r>
    <x v="1"/>
    <n v="774"/>
    <x v="0"/>
    <x v="0"/>
    <n v="534351.01982550602"/>
    <n v="203747.98648970004"/>
    <n v="330603.03333580599"/>
    <n v="86513"/>
    <n v="4013.559999999999"/>
    <m/>
    <n v="0.38129989263655673"/>
  </r>
  <r>
    <x v="1"/>
    <n v="776"/>
    <x v="0"/>
    <x v="0"/>
    <n v="518749.58892294299"/>
    <n v="194707.63310907615"/>
    <n v="324041.95581386681"/>
    <n v="82710"/>
    <n v="3636.7599999999998"/>
    <m/>
    <n v="0.37534031306576854"/>
  </r>
  <r>
    <x v="1"/>
    <n v="777"/>
    <x v="0"/>
    <x v="0"/>
    <n v="362597.27434452646"/>
    <n v="124400.12577345855"/>
    <n v="238197.1485710679"/>
    <n v="52891"/>
    <n v="2569.8900000000012"/>
    <m/>
    <n v="0.34308069744412412"/>
  </r>
  <r>
    <x v="1"/>
    <n v="790"/>
    <x v="0"/>
    <x v="0"/>
    <n v="491251.44000074774"/>
    <n v="169595.86763039883"/>
    <n v="321655.57237034891"/>
    <n v="72086"/>
    <n v="3754.4500000000016"/>
    <m/>
    <n v="0.3452323063524062"/>
  </r>
  <r>
    <x v="1"/>
    <n v="793"/>
    <x v="0"/>
    <x v="0"/>
    <n v="134093.28596229784"/>
    <n v="32771.323929729973"/>
    <n v="101321.96203256787"/>
    <n v="13936"/>
    <n v="1013.1200000000001"/>
    <m/>
    <n v="0.24439198200381246"/>
  </r>
  <r>
    <x v="1"/>
    <n v="795"/>
    <x v="0"/>
    <x v="0"/>
    <n v="69633.772482974513"/>
    <n v="13672.699131152982"/>
    <n v="55961.073351821527"/>
    <n v="5805"/>
    <n v="561.70000000000005"/>
    <m/>
    <n v="0.19635154959464479"/>
  </r>
  <r>
    <x v="2"/>
    <n v="780"/>
    <x v="0"/>
    <x v="0"/>
    <n v="298369.42088851391"/>
    <n v="62991.837916858407"/>
    <n v="235377.5829716555"/>
    <n v="22535"/>
    <n v="1547.241"/>
    <m/>
    <n v="0.21112028749218031"/>
  </r>
  <r>
    <x v="2"/>
    <n v="781"/>
    <x v="0"/>
    <x v="0"/>
    <n v="1762121.7892634284"/>
    <n v="1145009.080955911"/>
    <n v="617112.70830751746"/>
    <n v="409621"/>
    <n v="8267.6149999999998"/>
    <m/>
    <n v="0.64978997929225302"/>
  </r>
  <r>
    <x v="2"/>
    <n v="782"/>
    <x v="0"/>
    <x v="0"/>
    <n v="462494.49670881452"/>
    <n v="108546.66296815823"/>
    <n v="353947.83374065626"/>
    <n v="38832"/>
    <n v="2386.5700000000002"/>
    <m/>
    <n v="0.23469828017542652"/>
  </r>
  <r>
    <x v="2"/>
    <n v="783"/>
    <x v="0"/>
    <x v="0"/>
    <n v="461288.09653233673"/>
    <n v="181224.17731643064"/>
    <n v="280063.91921590606"/>
    <n v="64832"/>
    <n v="2298.0209999999997"/>
    <m/>
    <n v="0.3928654970261663"/>
  </r>
  <r>
    <x v="2"/>
    <n v="785"/>
    <x v="0"/>
    <x v="0"/>
    <n v="871112.88833368407"/>
    <n v="660764.3934313989"/>
    <n v="210348.49490228517"/>
    <n v="236385"/>
    <n v="3980.2529999999997"/>
    <m/>
    <n v="0.75852900614907426"/>
  </r>
  <r>
    <x v="2"/>
    <n v="789"/>
    <x v="0"/>
    <x v="0"/>
    <n v="99602.980281398035"/>
    <n v="52638.087411242988"/>
    <n v="46964.892870155047"/>
    <n v="18831"/>
    <n v="480.95600000000002"/>
    <m/>
    <n v="0.5284790401103463"/>
  </r>
  <r>
    <x v="3"/>
    <n v="690"/>
    <x v="0"/>
    <x v="0"/>
    <n v="2913803"/>
    <n v="1000421"/>
    <n v="1913382"/>
    <n v="350141"/>
    <n v="11904"/>
    <m/>
    <n v="0.3433385853470533"/>
  </r>
  <r>
    <x v="3"/>
    <n v="691"/>
    <x v="0"/>
    <x v="0"/>
    <n v="77858"/>
    <n v="18213"/>
    <n v="59645"/>
    <n v="8151"/>
    <n v="271.77999999999997"/>
    <s v="One Trip Daily"/>
    <n v="0.23392586503634821"/>
  </r>
  <r>
    <x v="3"/>
    <n v="692"/>
    <x v="0"/>
    <x v="0"/>
    <n v="350399"/>
    <n v="104131"/>
    <n v="246268"/>
    <n v="35563"/>
    <n v="1212.5"/>
    <m/>
    <n v="0.29717835952728178"/>
  </r>
  <r>
    <x v="3"/>
    <n v="695"/>
    <x v="0"/>
    <x v="0"/>
    <n v="1079551"/>
    <n v="235597"/>
    <n v="843954"/>
    <n v="82670"/>
    <n v="3639.38"/>
    <s v="Serves Downtown East and the U of M"/>
    <n v="0.21823610000824417"/>
  </r>
  <r>
    <x v="3"/>
    <n v="697"/>
    <x v="0"/>
    <x v="0"/>
    <n v="490510"/>
    <n v="148193"/>
    <n v="342317"/>
    <n v="51086"/>
    <n v="1684.27"/>
    <m/>
    <n v="0.30212024219689709"/>
  </r>
  <r>
    <x v="3"/>
    <n v="698"/>
    <x v="0"/>
    <x v="0"/>
    <n v="2480765"/>
    <n v="455042"/>
    <n v="2025723"/>
    <n v="186109"/>
    <n v="10242.83"/>
    <m/>
    <n v="0.1834280957688455"/>
  </r>
  <r>
    <x v="3"/>
    <n v="699"/>
    <x v="0"/>
    <x v="0"/>
    <n v="1386785"/>
    <n v="412183"/>
    <n v="974602"/>
    <n v="142741"/>
    <n v="4873.3"/>
    <m/>
    <n v="0.29722199187328968"/>
  </r>
  <r>
    <x v="4"/>
    <n v="118"/>
    <x v="0"/>
    <x v="0"/>
    <n v="4516.1925537190082"/>
    <n v="2375.514999999999"/>
    <n v="2140.6775537190092"/>
    <n v="1244"/>
    <n v="40.85"/>
    <m/>
    <n v="0.52599949442895266"/>
  </r>
  <r>
    <x v="4"/>
    <n v="350"/>
    <x v="0"/>
    <x v="0"/>
    <n v="316688.66271395248"/>
    <n v="40428.324999999924"/>
    <n v="276260.33771395253"/>
    <n v="30184"/>
    <n v="1441.8139999999999"/>
    <m/>
    <n v="0.12765952735263092"/>
  </r>
  <r>
    <x v="4"/>
    <n v="364"/>
    <x v="0"/>
    <x v="0"/>
    <n v="93536.283924821211"/>
    <n v="26357.37"/>
    <n v="67178.913924821216"/>
    <n v="11962"/>
    <n v="1175.6599999999999"/>
    <m/>
    <n v="0.28178765388182891"/>
  </r>
  <r>
    <x v="4"/>
    <n v="417"/>
    <x v="0"/>
    <x v="0"/>
    <n v="53156.818589019342"/>
    <n v="6116.5890000000036"/>
    <n v="47040.229589019335"/>
    <n v="2898"/>
    <n v="607"/>
    <m/>
    <n v="0.11506687500036945"/>
  </r>
  <r>
    <x v="4"/>
    <n v="670"/>
    <x v="0"/>
    <x v="0"/>
    <n v="305742.66606030514"/>
    <n v="94825.319000000018"/>
    <n v="210917.34706030512"/>
    <n v="35150"/>
    <n v="1796.3"/>
    <m/>
    <n v="0.31014748520998547"/>
  </r>
  <r>
    <x v="4"/>
    <n v="671"/>
    <x v="0"/>
    <x v="0"/>
    <n v="303589.37263734522"/>
    <n v="57612.778000000006"/>
    <n v="245976.59463734523"/>
    <n v="21345"/>
    <n v="1783.65"/>
    <m/>
    <n v="0.18977205130570149"/>
  </r>
  <r>
    <x v="4"/>
    <n v="762"/>
    <x v="0"/>
    <x v="0"/>
    <n v="5129.1618165289256"/>
    <n v="2239.9619999999977"/>
    <n v="2889.1998165289278"/>
    <n v="1382"/>
    <n v="46.17"/>
    <m/>
    <n v="0.43671111969632781"/>
  </r>
  <r>
    <x v="4"/>
    <s v="Metro Vanpool"/>
    <x v="1"/>
    <x v="3"/>
    <n v="833156"/>
    <n v="563125"/>
    <n v="270031"/>
    <n v="117252"/>
    <n v="31763"/>
    <m/>
    <n v="0.67589383020706806"/>
  </r>
  <r>
    <x v="2"/>
    <s v="MG DAR / MY RIDE"/>
    <x v="2"/>
    <x v="3"/>
    <n v="788759.54999999993"/>
    <n v="52769.59"/>
    <n v="735989.96"/>
    <n v="36568"/>
    <n v="10913"/>
    <m/>
    <n v="6.690199820718494E-2"/>
  </r>
  <r>
    <x v="4"/>
    <s v="Metro Mobility"/>
    <x v="3"/>
    <x v="3"/>
    <n v="76298154"/>
    <n v="7168431"/>
    <n v="69129723"/>
    <n v="1977507"/>
    <n v="1158967"/>
    <m/>
    <n v="9.3952875976527558E-2"/>
  </r>
  <r>
    <x v="1"/>
    <s v="Plymouth Dial a Ride"/>
    <x v="2"/>
    <x v="0"/>
    <n v="1147968.2066275401"/>
    <n v="65180.160000000003"/>
    <n v="1082788.0466275401"/>
    <n v="27514"/>
    <n v="9422"/>
    <m/>
    <n v="5.6778715319550484E-2"/>
  </r>
  <r>
    <x v="3"/>
    <s v="SW Prime "/>
    <x v="2"/>
    <x v="0"/>
    <n v="991034"/>
    <n v="220638"/>
    <n v="770396"/>
    <n v="96297"/>
    <n v="27155.09"/>
    <m/>
    <n v="0.22263413767842474"/>
  </r>
  <r>
    <x v="3"/>
    <s v="SW Prime "/>
    <x v="2"/>
    <x v="1"/>
    <n v="90103"/>
    <n v="20140"/>
    <n v="69963"/>
    <n v="6214"/>
    <n v="2353.9499999999998"/>
    <m/>
    <n v="0.22352196930179904"/>
  </r>
  <r>
    <x v="4"/>
    <s v="Transit Link"/>
    <x v="2"/>
    <x v="3"/>
    <n v="7007241"/>
    <n v="957534"/>
    <n v="6049707"/>
    <n v="243857"/>
    <n v="109827"/>
    <m/>
    <n v="0.13664921757364989"/>
  </r>
  <r>
    <x v="0"/>
    <s v="State Fair "/>
    <x v="4"/>
    <x v="4"/>
    <n v="197774.34815439294"/>
    <n v="204123"/>
    <n v="-6348.6518456070626"/>
    <n v="86082"/>
    <s v="--"/>
    <m/>
    <n v="1.0321004817098474"/>
  </r>
  <r>
    <x v="0"/>
    <s v="Event"/>
    <x v="4"/>
    <x v="4"/>
    <s v="--"/>
    <s v="--"/>
    <m/>
    <n v="1532"/>
    <s v="--"/>
    <m/>
    <e v="#VALUE!"/>
  </r>
  <r>
    <x v="3"/>
    <n v="682"/>
    <x v="4"/>
    <x v="4"/>
    <n v="133337"/>
    <n v="21075"/>
    <n v="112262"/>
    <n v="16359"/>
    <n v="414.86000000000013"/>
    <s v="Twins, Vikings, Gophers, _x000a_Summer Adventures, &amp; Misc."/>
    <n v="0.15805815340078147"/>
  </r>
  <r>
    <x v="3"/>
    <s v="682 (State Fair)"/>
    <x v="4"/>
    <x v="4"/>
    <n v="715931"/>
    <n v="329783"/>
    <n v="386148"/>
    <n v="108855"/>
    <n v="2364"/>
    <s v="State Fair"/>
    <n v="0.46063517294264389"/>
  </r>
  <r>
    <x v="0"/>
    <n v="420"/>
    <x v="5"/>
    <x v="0"/>
    <n v="362762.45666615583"/>
    <n v="19013.718688996662"/>
    <n v="343748.73797715915"/>
    <n v="17255"/>
    <n v="3745.8599999999992"/>
    <s v="Route 420 new extension to Dakota County Technical College August 2018; new weekend service added November 2018"/>
    <n v="5.2413689287848952E-2"/>
  </r>
  <r>
    <x v="0"/>
    <n v="421"/>
    <x v="5"/>
    <x v="0"/>
    <n v="108447.03465111906"/>
    <n v="4208.3631571873939"/>
    <n v="104238.67149393166"/>
    <n v="4858"/>
    <n v="1164.3059999999998"/>
    <m/>
    <n v="3.8805700595926508E-2"/>
  </r>
  <r>
    <x v="0"/>
    <n v="426"/>
    <x v="5"/>
    <x v="0"/>
    <n v="129061.9401128797"/>
    <n v="10994.270675022966"/>
    <n v="118067.66943785673"/>
    <n v="8052"/>
    <n v="810.61199999999985"/>
    <m/>
    <n v="8.5186001894959854E-2"/>
  </r>
  <r>
    <x v="0"/>
    <n v="436"/>
    <x v="5"/>
    <x v="0"/>
    <n v="266334.2328573307"/>
    <n v="32872.574151921282"/>
    <n v="233461.65870540941"/>
    <n v="27011"/>
    <n v="1199.4480000000001"/>
    <s v="Route 436 one trip eliminated August 2018"/>
    <n v="0.12342601925127059"/>
  </r>
  <r>
    <x v="0"/>
    <n v="440"/>
    <x v="5"/>
    <x v="0"/>
    <n v="934007.0422128588"/>
    <n v="58864.513032416362"/>
    <n v="875142.52918044245"/>
    <n v="43965"/>
    <n v="6859.3990000000013"/>
    <s v="Route 440 weekday and weekend trip reductions November 2018"/>
    <n v="6.3023628700865003E-2"/>
  </r>
  <r>
    <x v="0"/>
    <n v="442"/>
    <x v="5"/>
    <x v="0"/>
    <n v="516024.01324438548"/>
    <n v="24249.415747149993"/>
    <n v="491774.59749723552"/>
    <n v="26968"/>
    <n v="5846.1049999999996"/>
    <s v="Route 442 weekday and weekend trip reductions November 2018"/>
    <n v="4.6992804840005835E-2"/>
  </r>
  <r>
    <x v="0"/>
    <n v="444"/>
    <x v="5"/>
    <x v="0"/>
    <n v="1771233.7423037621"/>
    <n v="201456.16592191972"/>
    <n v="1569777.5763818424"/>
    <n v="197660"/>
    <n v="14040.740999999995"/>
    <m/>
    <n v="0.11373776431104737"/>
  </r>
  <r>
    <x v="0"/>
    <s v="445 /437 /438 "/>
    <x v="5"/>
    <x v="0"/>
    <n v="1057228.5060972855"/>
    <n v="92356.556821736594"/>
    <n v="964871.94927554892"/>
    <n v="79444"/>
    <n v="8697.4569999999967"/>
    <s v="Route 437 eliminated November 2018; Route 445 two trips added November 2018"/>
    <n v="8.7357232886830616E-2"/>
  </r>
  <r>
    <x v="0"/>
    <n v="446"/>
    <x v="5"/>
    <x v="0"/>
    <n v="952507.10127239709"/>
    <n v="92146.925797107731"/>
    <n v="860360.17547528935"/>
    <n v="77552"/>
    <n v="7306.3999999999987"/>
    <m/>
    <n v="9.6741458067886504E-2"/>
  </r>
  <r>
    <x v="0"/>
    <n v="489"/>
    <x v="5"/>
    <x v="0"/>
    <n v="216834.39186915275"/>
    <n v="31305.813871892198"/>
    <n v="185528.57799726055"/>
    <n v="16106"/>
    <n v="1264.4939999999999"/>
    <m/>
    <n v="0.14437660742850922"/>
  </r>
  <r>
    <x v="0"/>
    <n v="497"/>
    <x v="5"/>
    <x v="0"/>
    <n v="291071.68167129235"/>
    <n v="16715.284691273562"/>
    <n v="274356.39698001876"/>
    <n v="17299"/>
    <n v="3074.3990000000003"/>
    <s v="Route 497 re-alignment and one trip added August 2018"/>
    <n v="5.7426695016487922E-2"/>
  </r>
  <r>
    <x v="0"/>
    <n v="499"/>
    <x v="5"/>
    <x v="0"/>
    <n v="303920.07324174512"/>
    <n v="15030.131177130872"/>
    <n v="288889.94206461427"/>
    <n v="14635"/>
    <n v="3070.407999999999"/>
    <m/>
    <n v="4.9454223331854605E-2"/>
  </r>
  <r>
    <x v="0"/>
    <n v="420"/>
    <x v="5"/>
    <x v="1"/>
    <n v="6434.6079755216415"/>
    <n v="0"/>
    <n v="6434.6079755216415"/>
    <n v="124"/>
    <n v="45.035999999999987"/>
    <m/>
    <n v="0"/>
  </r>
  <r>
    <x v="0"/>
    <n v="440"/>
    <x v="5"/>
    <x v="1"/>
    <n v="121826.26334496499"/>
    <n v="4875.5245877085272"/>
    <n v="116950.73875725646"/>
    <n v="5405"/>
    <n v="970.12799999999993"/>
    <s v="Route 440 weekday and weekend trip reductions November 2018"/>
    <n v="4.0020308050513889E-2"/>
  </r>
  <r>
    <x v="0"/>
    <n v="442"/>
    <x v="5"/>
    <x v="1"/>
    <n v="71671.875433777808"/>
    <n v="2501.9961127943934"/>
    <n v="69169.879320983411"/>
    <n v="2743"/>
    <n v="594.21599999999989"/>
    <s v="Route 442 weekday and weekend trip reductions November 2018"/>
    <n v="3.4909036461675209E-2"/>
  </r>
  <r>
    <x v="0"/>
    <n v="444"/>
    <x v="5"/>
    <x v="1"/>
    <n v="180009.46072422079"/>
    <n v="22609.697783072643"/>
    <n v="157399.76294114813"/>
    <n v="24242"/>
    <n v="1293.0839999999998"/>
    <m/>
    <n v="0.1256028304962887"/>
  </r>
  <r>
    <x v="0"/>
    <n v="445"/>
    <x v="5"/>
    <x v="1"/>
    <n v="104288.22141648406"/>
    <n v="7129.5003799250371"/>
    <n v="97158.721036559014"/>
    <n v="8093"/>
    <n v="829.548"/>
    <m/>
    <n v="6.8363428612448568E-2"/>
  </r>
  <r>
    <x v="0"/>
    <n v="420"/>
    <x v="5"/>
    <x v="2"/>
    <n v="6434.6079755216415"/>
    <n v="0"/>
    <n v="6434.6079755216415"/>
    <n v="76"/>
    <n v="45.035999999999987"/>
    <m/>
    <n v="0"/>
  </r>
  <r>
    <x v="0"/>
    <n v="440"/>
    <x v="5"/>
    <x v="2"/>
    <n v="131051.4362813616"/>
    <n v="3721.1190142338091"/>
    <n v="127330.3172671278"/>
    <n v="4258"/>
    <n v="1043.8119999999999"/>
    <s v="Route 440 weekday and weekend trip reductions November 2018"/>
    <n v="2.8394339809025306E-2"/>
  </r>
  <r>
    <x v="0"/>
    <n v="442"/>
    <x v="5"/>
    <x v="2"/>
    <n v="77473.102057322016"/>
    <n v="1849.6347550010557"/>
    <n v="75623.467302320962"/>
    <n v="2285"/>
    <n v="642.53199999999993"/>
    <s v="Route 442 weekday and weekend trip reductions November 2018"/>
    <n v="2.3874541045645997E-2"/>
  </r>
  <r>
    <x v="0"/>
    <n v="444"/>
    <x v="5"/>
    <x v="2"/>
    <n v="193344.99848546609"/>
    <n v="18596.366448256955"/>
    <n v="174748.63203720914"/>
    <n v="19564"/>
    <n v="1388.8679999999999"/>
    <m/>
    <n v="9.6182298967794913E-2"/>
  </r>
  <r>
    <x v="0"/>
    <n v="445"/>
    <x v="5"/>
    <x v="2"/>
    <n v="112011.98144893027"/>
    <n v="5885.7305823760789"/>
    <n v="106126.25086655418"/>
    <n v="6711"/>
    <n v="890.99599999999987"/>
    <m/>
    <n v="5.2545544737636535E-2"/>
  </r>
  <r>
    <x v="1"/>
    <n v="740"/>
    <x v="5"/>
    <x v="0"/>
    <n v="108368.80419761772"/>
    <n v="0"/>
    <n v="108368.80419761772"/>
    <n v="8052"/>
    <n v="874.92999999999961"/>
    <m/>
    <n v="0"/>
  </r>
  <r>
    <x v="1"/>
    <n v="741"/>
    <x v="5"/>
    <x v="0"/>
    <n v="130668.15266576959"/>
    <n v="0"/>
    <n v="130668.15266576959"/>
    <n v="8681"/>
    <n v="1083.0600000000002"/>
    <m/>
    <n v="0"/>
  </r>
  <r>
    <x v="1"/>
    <n v="771"/>
    <x v="5"/>
    <x v="0"/>
    <n v="157491.96879277425"/>
    <n v="0"/>
    <n v="157491.96879277425"/>
    <n v="8115"/>
    <n v="1141.19"/>
    <m/>
    <n v="0"/>
  </r>
  <r>
    <x v="1"/>
    <n v="791"/>
    <x v="5"/>
    <x v="0"/>
    <n v="94882.812070833024"/>
    <n v="0"/>
    <n v="94882.812070833024"/>
    <n v="3944"/>
    <n v="752.7199999999998"/>
    <m/>
    <n v="0"/>
  </r>
  <r>
    <x v="2"/>
    <n v="787"/>
    <x v="5"/>
    <x v="0"/>
    <n v="55620.166440344947"/>
    <n v="0"/>
    <n v="55620.166440344947"/>
    <n v="3093"/>
    <n v="224"/>
    <m/>
    <n v="0"/>
  </r>
  <r>
    <x v="2"/>
    <n v="788"/>
    <x v="5"/>
    <x v="0"/>
    <n v="75462.575965179363"/>
    <n v="0"/>
    <n v="75462.575965179363"/>
    <n v="5971"/>
    <n v="494"/>
    <m/>
    <n v="0"/>
  </r>
  <r>
    <x v="3"/>
    <s v="SW Flex"/>
    <x v="5"/>
    <x v="0"/>
    <n v="839951"/>
    <n v="99146"/>
    <n v="740805"/>
    <n v="40219"/>
    <n v="3938.74"/>
    <s v="Reverse commute route with limited revenue due to the majority of passengers transferring from other transit providers."/>
    <n v="0.1180378379214978"/>
  </r>
  <r>
    <x v="4"/>
    <n v="219"/>
    <x v="5"/>
    <x v="1"/>
    <n v="103077.01138415447"/>
    <n v="12533.863000000008"/>
    <n v="90543.148384154454"/>
    <n v="9987"/>
    <n v="1342.2"/>
    <m/>
    <n v="0.12159707418454295"/>
  </r>
  <r>
    <x v="4"/>
    <n v="225"/>
    <x v="5"/>
    <x v="1"/>
    <n v="30438.634042180689"/>
    <n v="2045.5489999999995"/>
    <n v="28393.08504218069"/>
    <n v="2021"/>
    <n v="334.79999999999995"/>
    <m/>
    <n v="6.7202391446520113E-2"/>
  </r>
  <r>
    <x v="4"/>
    <n v="227"/>
    <x v="5"/>
    <x v="1"/>
    <n v="30438.634042180689"/>
    <n v="2428.6679999999997"/>
    <n v="28009.966042180691"/>
    <n v="2010"/>
    <n v="334.79999999999995"/>
    <m/>
    <n v="7.9788994362705132E-2"/>
  </r>
  <r>
    <x v="4"/>
    <n v="538"/>
    <x v="5"/>
    <x v="1"/>
    <n v="91509.08536907594"/>
    <n v="13599.378000000021"/>
    <n v="77909.707369075913"/>
    <n v="14417"/>
    <n v="1179.9000000000001"/>
    <m/>
    <n v="0.14861232570679497"/>
  </r>
  <r>
    <x v="4"/>
    <n v="539"/>
    <x v="5"/>
    <x v="1"/>
    <n v="111376.67249372513"/>
    <n v="23172.187000000042"/>
    <n v="88204.485493725078"/>
    <n v="21706"/>
    <n v="1432.0800000000002"/>
    <m/>
    <n v="0.20805242678897184"/>
  </r>
  <r>
    <x v="4"/>
    <n v="540"/>
    <x v="5"/>
    <x v="1"/>
    <n v="46948.061480012744"/>
    <n v="17943.163000000022"/>
    <n v="29004.898480012722"/>
    <n v="13421"/>
    <n v="599.4"/>
    <m/>
    <n v="0.38219177606809146"/>
  </r>
  <r>
    <x v="4"/>
    <n v="615"/>
    <x v="5"/>
    <x v="1"/>
    <n v="67007.618852735948"/>
    <n v="7795.7759999999989"/>
    <n v="59211.84285273595"/>
    <n v="6228"/>
    <n v="1090.8"/>
    <m/>
    <n v="0.11634163597326058"/>
  </r>
  <r>
    <x v="4"/>
    <n v="716"/>
    <x v="5"/>
    <x v="1"/>
    <n v="39572.422334190233"/>
    <n v="7729.5929999999971"/>
    <n v="31842.829334190235"/>
    <n v="7106"/>
    <n v="604.79999999999995"/>
    <m/>
    <n v="0.19532776979694"/>
  </r>
  <r>
    <x v="4"/>
    <n v="805"/>
    <x v="5"/>
    <x v="1"/>
    <n v="89617.723989771344"/>
    <n v="11304.582000000006"/>
    <n v="78313.141989771335"/>
    <n v="8323"/>
    <n v="997.21800000000007"/>
    <m/>
    <n v="0.1261422573205527"/>
  </r>
  <r>
    <x v="4"/>
    <n v="538"/>
    <x v="5"/>
    <x v="5"/>
    <n v="78730.835484905678"/>
    <n v="11165.421000000011"/>
    <n v="67565.414484905661"/>
    <n v="11652"/>
    <n v="1016.1600000000001"/>
    <m/>
    <n v="0.14181763639661429"/>
  </r>
  <r>
    <x v="4"/>
    <n v="539"/>
    <x v="5"/>
    <x v="5"/>
    <n v="89429.672421625975"/>
    <n v="15899.647000000028"/>
    <n v="73530.025421625949"/>
    <n v="13850"/>
    <n v="1145.5"/>
    <m/>
    <n v="0.17778939103164107"/>
  </r>
  <r>
    <x v="4"/>
    <n v="540"/>
    <x v="5"/>
    <x v="5"/>
    <n v="48594.628030243184"/>
    <n v="15942.680000000015"/>
    <n v="32651.948030243169"/>
    <n v="11032"/>
    <n v="609"/>
    <m/>
    <n v="0.32807494668089615"/>
  </r>
  <r>
    <x v="4"/>
    <n v="219"/>
    <x v="5"/>
    <x v="0"/>
    <n v="1033220.6548756333"/>
    <n v="161076.90900000086"/>
    <n v="872143.74587563239"/>
    <n v="129786"/>
    <n v="13284.612000000001"/>
    <m/>
    <n v="0.15589787935413404"/>
  </r>
  <r>
    <x v="4"/>
    <n v="223"/>
    <x v="5"/>
    <x v="0"/>
    <n v="227321.21453261154"/>
    <n v="38680.283999999985"/>
    <n v="188640.93053261156"/>
    <n v="30802"/>
    <n v="2686.6880000000001"/>
    <m/>
    <n v="0.17015694764577682"/>
  </r>
  <r>
    <x v="4"/>
    <n v="225"/>
    <x v="5"/>
    <x v="0"/>
    <n v="203367.96282948804"/>
    <n v="25387.433999999983"/>
    <n v="177980.52882948806"/>
    <n v="23653"/>
    <n v="2302.3000000000002"/>
    <m/>
    <n v="0.1248349722679075"/>
  </r>
  <r>
    <x v="4"/>
    <n v="227"/>
    <x v="5"/>
    <x v="0"/>
    <n v="219514.78577991069"/>
    <n v="28870.000000000004"/>
    <n v="190644.78577991069"/>
    <n v="23225"/>
    <n v="2378.1999999999998"/>
    <m/>
    <n v="0.13151733673623955"/>
  </r>
  <r>
    <x v="4"/>
    <n v="537"/>
    <x v="5"/>
    <x v="0"/>
    <n v="171934.44419894775"/>
    <n v="19824.342000000011"/>
    <n v="152110.10219894774"/>
    <n v="17578"/>
    <n v="1505.35"/>
    <m/>
    <n v="0.11530174824691315"/>
  </r>
  <r>
    <x v="4"/>
    <n v="538"/>
    <x v="5"/>
    <x v="0"/>
    <n v="610334.30204585427"/>
    <n v="111615.1299999995"/>
    <n v="498719.17204585479"/>
    <n v="106301"/>
    <n v="7493.8600000000006"/>
    <m/>
    <n v="0.18287540062202481"/>
  </r>
  <r>
    <x v="4"/>
    <n v="539"/>
    <x v="5"/>
    <x v="0"/>
    <n v="1056183.6303056676"/>
    <n v="256351.14900000527"/>
    <n v="799832.48130566231"/>
    <n v="228448"/>
    <n v="12954.358999999999"/>
    <m/>
    <n v="0.24271456368417232"/>
  </r>
  <r>
    <x v="4"/>
    <n v="540"/>
    <x v="5"/>
    <x v="0"/>
    <n v="832295.30959712307"/>
    <n v="204592.85300000312"/>
    <n v="627702.45659711992"/>
    <n v="166029"/>
    <n v="10946.2"/>
    <m/>
    <n v="0.24581762103049382"/>
  </r>
  <r>
    <x v="4"/>
    <n v="542"/>
    <x v="5"/>
    <x v="0"/>
    <n v="310559.986550709"/>
    <n v="59166.355999999731"/>
    <n v="251393.63055070926"/>
    <n v="46687"/>
    <n v="4000.3"/>
    <m/>
    <n v="0.19051506492237338"/>
  </r>
  <r>
    <x v="4"/>
    <n v="604"/>
    <x v="5"/>
    <x v="0"/>
    <n v="141097.06270877708"/>
    <n v="10150.398000000012"/>
    <n v="130946.66470877707"/>
    <n v="11407"/>
    <n v="1733.05"/>
    <m/>
    <n v="7.193911627310294E-2"/>
  </r>
  <r>
    <x v="4"/>
    <n v="614"/>
    <x v="5"/>
    <x v="0"/>
    <n v="179917.4610620639"/>
    <n v="11812.487000000005"/>
    <n v="168104.97406206391"/>
    <n v="8139"/>
    <n v="2454.1"/>
    <m/>
    <n v="6.5655033870921489E-2"/>
  </r>
  <r>
    <x v="4"/>
    <n v="615"/>
    <x v="5"/>
    <x v="0"/>
    <n v="332914.3209107602"/>
    <n v="53074.019999999786"/>
    <n v="279840.30091076042"/>
    <n v="40624"/>
    <n v="5439.5"/>
    <m/>
    <n v="0.15942245997349755"/>
  </r>
  <r>
    <x v="4"/>
    <n v="705"/>
    <x v="5"/>
    <x v="0"/>
    <n v="468700.45348603308"/>
    <n v="74868.914999999572"/>
    <n v="393831.5384860335"/>
    <n v="67419"/>
    <n v="5667.2"/>
    <m/>
    <n v="0.15973723610282492"/>
  </r>
  <r>
    <x v="4"/>
    <n v="716"/>
    <x v="5"/>
    <x v="0"/>
    <n v="203313.99306647081"/>
    <n v="43236.195999999836"/>
    <n v="160077.79706647096"/>
    <n v="34751"/>
    <n v="3036"/>
    <m/>
    <n v="0.21265725662996712"/>
  </r>
  <r>
    <x v="4"/>
    <n v="717"/>
    <x v="5"/>
    <x v="0"/>
    <n v="217903.05880866692"/>
    <n v="59300.00099999964"/>
    <n v="158603.05780866728"/>
    <n v="59814"/>
    <n v="3440.8"/>
    <m/>
    <n v="0.27213936933335525"/>
  </r>
  <r>
    <x v="4"/>
    <n v="801"/>
    <x v="5"/>
    <x v="0"/>
    <n v="432159.23539605504"/>
    <n v="78426.598999999464"/>
    <n v="353732.63639605558"/>
    <n v="71127"/>
    <n v="4440.1499999999996"/>
    <m/>
    <n v="0.18147616104541864"/>
  </r>
  <r>
    <x v="4"/>
    <n v="805"/>
    <x v="5"/>
    <x v="0"/>
    <n v="550607.08847054362"/>
    <n v="94726.23799999959"/>
    <n v="455880.85047054401"/>
    <n v="67708"/>
    <n v="6013.0510000000004"/>
    <m/>
    <n v="0.17203962677474186"/>
  </r>
  <r>
    <x v="4"/>
    <n v="831"/>
    <x v="5"/>
    <x v="0"/>
    <n v="254966.95214362995"/>
    <n v="23037.654000000031"/>
    <n v="231929.29814362992"/>
    <n v="22388"/>
    <n v="2635.5009999999997"/>
    <m/>
    <n v="9.0355451192052072E-2"/>
  </r>
  <r>
    <x v="4"/>
    <n v="16"/>
    <x v="6"/>
    <x v="1"/>
    <n v="17374.968545454547"/>
    <n v="1061.6920000000027"/>
    <n v="16313.276545454544"/>
    <n v="1830"/>
    <n v="155.1"/>
    <m/>
    <n v="6.1104686159431994E-2"/>
  </r>
  <r>
    <x v="4"/>
    <n v="30"/>
    <x v="6"/>
    <x v="1"/>
    <n v="123274.51127390889"/>
    <n v="16127.966000000039"/>
    <n v="107146.54527390885"/>
    <n v="18477"/>
    <n v="1647"/>
    <m/>
    <n v="0.13082968923044133"/>
  </r>
  <r>
    <x v="4"/>
    <n v="80"/>
    <x v="6"/>
    <x v="1"/>
    <n v="63413.431966057688"/>
    <n v="13620.547000000013"/>
    <n v="49792.884966057674"/>
    <n v="16439"/>
    <n v="732.78000000000009"/>
    <m/>
    <n v="0.21478962071143648"/>
  </r>
  <r>
    <x v="4"/>
    <n v="83"/>
    <x v="6"/>
    <x v="1"/>
    <n v="123046.66568990084"/>
    <n v="14980.092000000037"/>
    <n v="108066.5736899008"/>
    <n v="15359"/>
    <n v="1904.5799999999997"/>
    <m/>
    <n v="0.12174317699719303"/>
  </r>
  <r>
    <x v="4"/>
    <n v="84"/>
    <x v="6"/>
    <x v="1"/>
    <n v="15961.278190082645"/>
    <n v="1449.975000000004"/>
    <n v="14511.303190082641"/>
    <n v="1805"/>
    <n v="143.15"/>
    <m/>
    <n v="9.0843288534431355E-2"/>
  </r>
  <r>
    <x v="4"/>
    <n v="87"/>
    <x v="6"/>
    <x v="1"/>
    <n v="182530.55473042087"/>
    <n v="21102.920000000049"/>
    <n v="161427.63473042083"/>
    <n v="22016"/>
    <n v="2144.8799999999997"/>
    <m/>
    <n v="0.11561308204627396"/>
  </r>
  <r>
    <x v="4"/>
    <n v="16"/>
    <x v="6"/>
    <x v="5"/>
    <n v="19636.319249586777"/>
    <n v="720.78700000000129"/>
    <n v="18915.532249586777"/>
    <n v="1163"/>
    <n v="171.17999999999998"/>
    <m/>
    <n v="3.6706828343869458E-2"/>
  </r>
  <r>
    <x v="4"/>
    <n v="30"/>
    <x v="6"/>
    <x v="5"/>
    <n v="132405.58618308735"/>
    <n v="14739.707000000035"/>
    <n v="117665.87918308731"/>
    <n v="16224"/>
    <n v="1769"/>
    <m/>
    <n v="0.1113223952622234"/>
  </r>
  <r>
    <x v="4"/>
    <n v="80"/>
    <x v="6"/>
    <x v="5"/>
    <n v="36816.230827874351"/>
    <n v="9295.1319999999996"/>
    <n v="27521.098827874353"/>
    <n v="10070"/>
    <n v="425.14000000000004"/>
    <m/>
    <n v="0.25247375385756377"/>
  </r>
  <r>
    <x v="4"/>
    <n v="83"/>
    <x v="6"/>
    <x v="5"/>
    <n v="132161.34462989349"/>
    <n v="13853.04800000003"/>
    <n v="118308.29662989346"/>
    <n v="14140"/>
    <n v="2045.6599999999999"/>
    <m/>
    <n v="0.10481921199269198"/>
  </r>
  <r>
    <x v="4"/>
    <n v="84"/>
    <x v="6"/>
    <x v="5"/>
    <n v="14182.833150413224"/>
    <n v="907.88100000000168"/>
    <n v="13274.952150413223"/>
    <n v="1110"/>
    <n v="126.47999999999999"/>
    <m/>
    <n v="6.4012668722225649E-2"/>
  </r>
  <r>
    <x v="4"/>
    <n v="87"/>
    <x v="6"/>
    <x v="5"/>
    <n v="196672.96610930478"/>
    <n v="16740.027000000056"/>
    <n v="179932.93910930472"/>
    <n v="16903"/>
    <n v="2324.6400000000003"/>
    <m/>
    <n v="8.5116054998105151E-2"/>
  </r>
  <r>
    <x v="4"/>
    <n v="16"/>
    <x v="6"/>
    <x v="0"/>
    <n v="68162.511626446285"/>
    <n v="5546.8319999999758"/>
    <n v="62615.679626446312"/>
    <n v="8246"/>
    <n v="653.22"/>
    <m/>
    <n v="8.1376578820899367E-2"/>
  </r>
  <r>
    <x v="4"/>
    <n v="27"/>
    <x v="6"/>
    <x v="0"/>
    <n v="198839.54029937569"/>
    <n v="16034.195000000062"/>
    <n v="182805.34529937562"/>
    <n v="20552"/>
    <n v="2788.06"/>
    <m/>
    <n v="8.0638865770151877E-2"/>
  </r>
  <r>
    <x v="4"/>
    <n v="30"/>
    <x v="6"/>
    <x v="0"/>
    <n v="740903.76198727987"/>
    <n v="157690.41700000194"/>
    <n v="583213.34498727787"/>
    <n v="154565"/>
    <n v="9689.9"/>
    <m/>
    <n v="0.21283522245458544"/>
  </r>
  <r>
    <x v="4"/>
    <n v="80"/>
    <x v="6"/>
    <x v="0"/>
    <n v="302711.37223541766"/>
    <n v="96714.173999999417"/>
    <n v="205997.19823541824"/>
    <n v="98052"/>
    <n v="3526.0610000000001"/>
    <m/>
    <n v="0.31949303154948905"/>
  </r>
  <r>
    <x v="4"/>
    <n v="83"/>
    <x v="6"/>
    <x v="0"/>
    <n v="600486.51163716486"/>
    <n v="114548.83800000108"/>
    <n v="485937.67363716377"/>
    <n v="106379"/>
    <n v="9500.15"/>
    <m/>
    <n v="0.19076005169157825"/>
  </r>
  <r>
    <x v="4"/>
    <n v="84"/>
    <x v="6"/>
    <x v="0"/>
    <n v="72173.734867768595"/>
    <n v="8747.3270000000048"/>
    <n v="63426.40786776859"/>
    <n v="10032"/>
    <n v="680.51666666666665"/>
    <m/>
    <n v="0.12119820341882284"/>
  </r>
  <r>
    <x v="4"/>
    <n v="87"/>
    <x v="6"/>
    <x v="0"/>
    <n v="1091659.8018111223"/>
    <n v="259128.70100000841"/>
    <n v="832531.10081111395"/>
    <n v="227554"/>
    <n v="12940.95"/>
    <m/>
    <n v="0.23737129513251284"/>
  </r>
  <r>
    <x v="5"/>
    <n v="2"/>
    <x v="7"/>
    <x v="0"/>
    <n v="6029659.9676695131"/>
    <n v="1180598.2243872117"/>
    <n v="4849061.7432823014"/>
    <n v="1448128.3411701326"/>
    <n v="34245.459999999934"/>
    <m/>
    <n v="0.19579847465984346"/>
  </r>
  <r>
    <x v="5"/>
    <n v="3"/>
    <x v="7"/>
    <x v="0"/>
    <n v="8334695.0912415227"/>
    <n v="1600583.8250722014"/>
    <n v="6734111.2661693208"/>
    <n v="1622310.3971839733"/>
    <n v="45503.829999999813"/>
    <m/>
    <n v="0.19203867778608577"/>
  </r>
  <r>
    <x v="5"/>
    <n v="4"/>
    <x v="7"/>
    <x v="0"/>
    <n v="8472733.3910882808"/>
    <n v="1743602.6502952415"/>
    <n v="6729130.7407930391"/>
    <n v="1382841.9665109983"/>
    <n v="45790.789999999797"/>
    <m/>
    <n v="0.20578986376807076"/>
  </r>
  <r>
    <x v="5"/>
    <n v="5"/>
    <x v="7"/>
    <x v="0"/>
    <n v="12818463.89002654"/>
    <n v="3117375.8774933401"/>
    <n v="9701088.012533199"/>
    <n v="3476014.0037711198"/>
    <n v="71385.460000000006"/>
    <m/>
    <n v="0.2431941849068848"/>
  </r>
  <r>
    <x v="5"/>
    <n v="6"/>
    <x v="7"/>
    <x v="0"/>
    <n v="10417667.884550348"/>
    <n v="2334586.0589800295"/>
    <n v="8083081.8255703188"/>
    <n v="2027757.0399372163"/>
    <n v="55663.519999999939"/>
    <m/>
    <n v="0.22409872198385944"/>
  </r>
  <r>
    <x v="5"/>
    <n v="7"/>
    <x v="7"/>
    <x v="0"/>
    <n v="3346123.4161249902"/>
    <n v="423037.74372474942"/>
    <n v="2923085.6724002408"/>
    <n v="414414.96171261487"/>
    <n v="18936.200000000023"/>
    <m/>
    <n v="0.126426222561346"/>
  </r>
  <r>
    <x v="5"/>
    <n v="9"/>
    <x v="7"/>
    <x v="0"/>
    <n v="4356100.4575872812"/>
    <n v="673915.65936088469"/>
    <n v="3682184.7982263966"/>
    <n v="631495.78793264914"/>
    <n v="23429.679999999902"/>
    <m/>
    <n v="0.15470617951133001"/>
  </r>
  <r>
    <x v="5"/>
    <n v="10"/>
    <x v="7"/>
    <x v="0"/>
    <n v="8311803.0740515152"/>
    <n v="1513812.1850152249"/>
    <n v="6797990.8890362903"/>
    <n v="1637923.5289184712"/>
    <n v="46708.960000000116"/>
    <m/>
    <n v="0.18212801380499147"/>
  </r>
  <r>
    <x v="5"/>
    <n v="11"/>
    <x v="7"/>
    <x v="0"/>
    <n v="5862003.8227913631"/>
    <n v="1163903.3627525098"/>
    <n v="4698100.4600388538"/>
    <n v="1034385.5366036745"/>
    <n v="33264.919999999896"/>
    <m/>
    <n v="0.19855042711287135"/>
  </r>
  <r>
    <x v="5"/>
    <n v="12"/>
    <x v="7"/>
    <x v="0"/>
    <n v="1992431.9568934722"/>
    <n v="456907.80531504081"/>
    <n v="1535524.1515784315"/>
    <n v="331528.02770781505"/>
    <n v="10514.229999999969"/>
    <m/>
    <n v="0.22932166076448349"/>
  </r>
  <r>
    <x v="5"/>
    <n v="14"/>
    <x v="7"/>
    <x v="0"/>
    <n v="6991607.3650881946"/>
    <n v="1274032.8524907953"/>
    <n v="5717574.5125973988"/>
    <n v="1217587.7755542144"/>
    <n v="38569.950000000026"/>
    <m/>
    <n v="0.18222316928901575"/>
  </r>
  <r>
    <x v="5"/>
    <n v="16"/>
    <x v="6"/>
    <x v="0"/>
    <n v="1976459.6628067482"/>
    <n v="116078.49247705277"/>
    <n v="1860381.1703296953"/>
    <n v="170545.35392367683"/>
    <n v="10610.810000000014"/>
    <m/>
    <n v="5.8730514293527755E-2"/>
  </r>
  <r>
    <x v="5"/>
    <n v="17"/>
    <x v="7"/>
    <x v="0"/>
    <n v="6364218.6786776735"/>
    <n v="1402319.8781011661"/>
    <n v="4961898.8005765071"/>
    <n v="1263729.0816228872"/>
    <n v="34088.840000000193"/>
    <m/>
    <n v="0.22034438929627309"/>
  </r>
  <r>
    <x v="5"/>
    <n v="18"/>
    <x v="7"/>
    <x v="0"/>
    <n v="9821024.6610060688"/>
    <n v="1958612.6996716254"/>
    <n v="7862411.9613344437"/>
    <n v="2308185.5653439043"/>
    <n v="53329.889999999919"/>
    <m/>
    <n v="0.19943058563412511"/>
  </r>
  <r>
    <x v="5"/>
    <n v="19"/>
    <x v="7"/>
    <x v="0"/>
    <n v="6977505.2664347403"/>
    <n v="1410539.885063787"/>
    <n v="5566965.3813709533"/>
    <n v="1514187.4890914378"/>
    <n v="35110.039999999964"/>
    <m/>
    <n v="0.20215533076688358"/>
  </r>
  <r>
    <x v="5"/>
    <n v="20"/>
    <x v="6"/>
    <x v="0"/>
    <n v="185205.72878988061"/>
    <n v="8328.7716448712199"/>
    <n v="176876.95714500939"/>
    <n v="13152.704650108397"/>
    <n v="469.2"/>
    <m/>
    <n v="4.4970378072485911E-2"/>
  </r>
  <r>
    <x v="5"/>
    <n v="21"/>
    <x v="7"/>
    <x v="0"/>
    <n v="10789554.871321255"/>
    <n v="2161467.9933571541"/>
    <n v="8628086.8779641017"/>
    <n v="2808846.1722330106"/>
    <n v="59311.149999999936"/>
    <m/>
    <n v="0.20032967245964498"/>
  </r>
  <r>
    <x v="5"/>
    <n v="22"/>
    <x v="7"/>
    <x v="0"/>
    <n v="7540097.1816556845"/>
    <n v="1391058.5187104268"/>
    <n v="6149038.6629452575"/>
    <n v="1386876.9839470331"/>
    <n v="43373.860000000052"/>
    <m/>
    <n v="0.18448814188956814"/>
  </r>
  <r>
    <x v="5"/>
    <n v="23"/>
    <x v="6"/>
    <x v="0"/>
    <n v="2833949.7695562788"/>
    <n v="374580.90209812421"/>
    <n v="2459368.8674581544"/>
    <n v="371878.20206816337"/>
    <n v="14844.519999999988"/>
    <m/>
    <n v="0.13217626724441683"/>
  </r>
  <r>
    <x v="5"/>
    <n v="25"/>
    <x v="7"/>
    <x v="0"/>
    <n v="2088526.9987170175"/>
    <n v="316682.67529960966"/>
    <n v="1771844.3234174079"/>
    <n v="229364.29061014342"/>
    <n v="11314.949999999957"/>
    <m/>
    <n v="0.15162967751632989"/>
  </r>
  <r>
    <x v="5"/>
    <n v="32"/>
    <x v="6"/>
    <x v="0"/>
    <n v="2105422.0142270997"/>
    <n v="407566.91404829116"/>
    <n v="1697855.1001788084"/>
    <n v="397355.86229024245"/>
    <n v="10562.209999999974"/>
    <m/>
    <n v="0.19357967727810091"/>
  </r>
  <r>
    <x v="5"/>
    <n v="39"/>
    <x v="6"/>
    <x v="0"/>
    <n v="220878.33153665464"/>
    <n v="31984.016827110099"/>
    <n v="188894.31470954453"/>
    <n v="27871.701415489952"/>
    <n v="682.08999999999878"/>
    <m/>
    <n v="0.14480377773861611"/>
  </r>
  <r>
    <x v="5"/>
    <n v="46"/>
    <x v="6"/>
    <x v="0"/>
    <n v="2878662.5669932058"/>
    <n v="302406.47170121007"/>
    <n v="2576256.0952919959"/>
    <n v="282387.94647009933"/>
    <n v="15180.009999999918"/>
    <m/>
    <n v="0.1050510313951374"/>
  </r>
  <r>
    <x v="5"/>
    <n v="53"/>
    <x v="0"/>
    <x v="0"/>
    <n v="850877.04069158121"/>
    <n v="246213.65911984246"/>
    <n v="604663.38157173875"/>
    <n v="181851.70098094665"/>
    <n v="4114.4899999999861"/>
    <m/>
    <n v="0.28936455838522024"/>
  </r>
  <r>
    <x v="5"/>
    <n v="54"/>
    <x v="7"/>
    <x v="0"/>
    <n v="6279223.7968083592"/>
    <n v="1160368.1008092971"/>
    <n v="5118855.6959990617"/>
    <n v="1155359.3009982756"/>
    <n v="34157.409999999953"/>
    <m/>
    <n v="0.18479483107435918"/>
  </r>
  <r>
    <x v="5"/>
    <n v="59"/>
    <x v="7"/>
    <x v="0"/>
    <n v="941796.04162468773"/>
    <n v="221579.80497738809"/>
    <n v="720216.23664729961"/>
    <n v="138883.43304513514"/>
    <n v="4235.6599999999835"/>
    <m/>
    <n v="0.23527366349421247"/>
  </r>
  <r>
    <x v="5"/>
    <n v="61"/>
    <x v="7"/>
    <x v="0"/>
    <n v="3854303.6453860905"/>
    <n v="714683.08771698887"/>
    <n v="3139620.5576691017"/>
    <n v="620602.27813490166"/>
    <n v="21756.000000000073"/>
    <m/>
    <n v="0.18542469755140378"/>
  </r>
  <r>
    <x v="5"/>
    <n v="62"/>
    <x v="7"/>
    <x v="0"/>
    <n v="4239345.2568004411"/>
    <n v="591695.69637379854"/>
    <n v="3647649.5604266427"/>
    <n v="639637.39509343007"/>
    <n v="22834.660000000058"/>
    <m/>
    <n v="0.13957242463907474"/>
  </r>
  <r>
    <x v="5"/>
    <n v="63"/>
    <x v="7"/>
    <x v="0"/>
    <n v="5453775.9134350559"/>
    <n v="1033073.0309554563"/>
    <n v="4420702.8824795997"/>
    <n v="1023116.5316100802"/>
    <n v="31867.579999999856"/>
    <m/>
    <n v="0.18942344668224115"/>
  </r>
  <r>
    <x v="5"/>
    <n v="64"/>
    <x v="7"/>
    <x v="0"/>
    <n v="6036968.8564401576"/>
    <n v="1069064.6575304514"/>
    <n v="4967904.1989097064"/>
    <n v="1106637.2434178148"/>
    <n v="32159.050000000112"/>
    <m/>
    <n v="0.17708632973814128"/>
  </r>
  <r>
    <x v="5"/>
    <n v="65"/>
    <x v="6"/>
    <x v="0"/>
    <n v="2431160.5535372626"/>
    <n v="227766.13287723821"/>
    <n v="2203394.4206600245"/>
    <n v="242456.83304655258"/>
    <n v="11839.339999999929"/>
    <m/>
    <n v="9.3686174919976231E-2"/>
  </r>
  <r>
    <x v="5"/>
    <n v="67"/>
    <x v="7"/>
    <x v="0"/>
    <n v="2979471.6014236677"/>
    <n v="294455.49829735036"/>
    <n v="2685016.1031263173"/>
    <n v="285247.72617990605"/>
    <n v="15835.399999999989"/>
    <m/>
    <n v="9.8828093597754713E-2"/>
  </r>
  <r>
    <x v="5"/>
    <n v="68"/>
    <x v="7"/>
    <x v="0"/>
    <n v="4772499.4708147626"/>
    <n v="727220.71499248559"/>
    <n v="4045278.7558222772"/>
    <n v="745908.75919539412"/>
    <n v="26305.199999999877"/>
    <m/>
    <n v="0.15237732752819649"/>
  </r>
  <r>
    <x v="5"/>
    <n v="70"/>
    <x v="7"/>
    <x v="0"/>
    <n v="1801984.1803154997"/>
    <n v="243455.91635698607"/>
    <n v="1558528.2639585135"/>
    <n v="211935.91966920329"/>
    <n v="9566.3499999999785"/>
    <m/>
    <n v="0.135104358304833"/>
  </r>
  <r>
    <x v="5"/>
    <n v="71"/>
    <x v="7"/>
    <x v="0"/>
    <n v="3425476.0833892557"/>
    <n v="371317.47380909807"/>
    <n v="3054158.6095801578"/>
    <n v="392869.62825146335"/>
    <n v="18363.239999999998"/>
    <m/>
    <n v="0.1083987932683818"/>
  </r>
  <r>
    <x v="5"/>
    <n v="74"/>
    <x v="7"/>
    <x v="0"/>
    <n v="5612809.9073081287"/>
    <n v="1066357.1896516674"/>
    <n v="4546452.7176564615"/>
    <n v="1056653.8539087635"/>
    <n v="31594.829999999896"/>
    <m/>
    <n v="0.18998633612430429"/>
  </r>
  <r>
    <x v="5"/>
    <n v="75"/>
    <x v="7"/>
    <x v="0"/>
    <n v="1495917.0716476811"/>
    <n v="178446.89112878"/>
    <n v="1317470.180518901"/>
    <n v="170156.37409372488"/>
    <n v="7885.9499999999643"/>
    <m/>
    <n v="0.11928929384583417"/>
  </r>
  <r>
    <x v="5"/>
    <n v="84"/>
    <x v="6"/>
    <x v="0"/>
    <n v="2144630.1114290538"/>
    <n v="157895.51757845131"/>
    <n v="1986734.5938506024"/>
    <n v="185030.96279108719"/>
    <n v="10605.02"/>
    <m/>
    <n v="7.3623659733677405E-2"/>
  </r>
  <r>
    <x v="5"/>
    <n v="94"/>
    <x v="0"/>
    <x v="0"/>
    <n v="2621718.3416112987"/>
    <n v="671619.38598318968"/>
    <n v="1950098.9556281092"/>
    <n v="505013.03186638199"/>
    <n v="12453.349999999946"/>
    <m/>
    <n v="0.25617526311785832"/>
  </r>
  <r>
    <x v="5"/>
    <n v="111"/>
    <x v="0"/>
    <x v="0"/>
    <n v="133959.62362965973"/>
    <n v="29394.357841237565"/>
    <n v="104565.26578842217"/>
    <n v="16795.630417551667"/>
    <n v="554.56000000000063"/>
    <m/>
    <n v="0.21942699632017643"/>
  </r>
  <r>
    <x v="5"/>
    <n v="113"/>
    <x v="0"/>
    <x v="0"/>
    <n v="478295.60635169246"/>
    <n v="127869.99676410937"/>
    <n v="350425.60958758311"/>
    <n v="89183.220852288621"/>
    <n v="1778.4800000000073"/>
    <m/>
    <n v="0.2673451210214256"/>
  </r>
  <r>
    <x v="5"/>
    <n v="114"/>
    <x v="0"/>
    <x v="0"/>
    <n v="640337.03949879156"/>
    <n v="156447.87799978195"/>
    <n v="483889.16149900958"/>
    <n v="111062.55832742556"/>
    <n v="1952.139999999999"/>
    <m/>
    <n v="0.24432114394356724"/>
  </r>
  <r>
    <x v="5"/>
    <n v="115"/>
    <x v="0"/>
    <x v="0"/>
    <n v="85855.721826147623"/>
    <n v="10092.509800885704"/>
    <n v="75763.212025261921"/>
    <n v="11474.386343809076"/>
    <n v="342.52999999999867"/>
    <m/>
    <n v="0.11755197657440228"/>
  </r>
  <r>
    <x v="5"/>
    <n v="118"/>
    <x v="0"/>
    <x v="0"/>
    <n v="118842.66892493381"/>
    <n v="26235.781906010194"/>
    <n v="92606.887018923619"/>
    <n v="15857.929707480849"/>
    <n v="503.09999999999786"/>
    <m/>
    <n v="0.22076062531532217"/>
  </r>
  <r>
    <x v="5"/>
    <n v="129"/>
    <x v="6"/>
    <x v="0"/>
    <n v="151220.42736419284"/>
    <n v="1787.875563970031"/>
    <n v="149432.55180022281"/>
    <n v="12511.665890347593"/>
    <n v="379.5"/>
    <m/>
    <n v="1.1822976532556593E-2"/>
  </r>
  <r>
    <x v="5"/>
    <n v="133"/>
    <x v="0"/>
    <x v="0"/>
    <n v="571607.35732448078"/>
    <n v="124131.65472930628"/>
    <n v="447475.70259517449"/>
    <n v="67689.751368464014"/>
    <n v="2174.4900000000016"/>
    <m/>
    <n v="0.21716245100540446"/>
  </r>
  <r>
    <x v="5"/>
    <n v="134"/>
    <x v="0"/>
    <x v="0"/>
    <n v="862524.50783876283"/>
    <n v="265157.16324071208"/>
    <n v="597367.34459805069"/>
    <n v="133418.00711442367"/>
    <n v="3411.5099999999975"/>
    <m/>
    <n v="0.30741985976157282"/>
  </r>
  <r>
    <x v="5"/>
    <n v="135"/>
    <x v="0"/>
    <x v="0"/>
    <n v="473489.47911681468"/>
    <n v="144449.75203702497"/>
    <n v="329039.72707978974"/>
    <n v="70936.436349129566"/>
    <n v="1730.9699999999957"/>
    <m/>
    <n v="0.30507489270186666"/>
  </r>
  <r>
    <x v="5"/>
    <n v="141"/>
    <x v="7"/>
    <x v="0"/>
    <n v="439205.77150801738"/>
    <n v="141847.99507788455"/>
    <n v="297357.7764301328"/>
    <n v="84768.559102220694"/>
    <n v="2302.1400000000026"/>
    <m/>
    <n v="0.32296477933531714"/>
  </r>
  <r>
    <x v="5"/>
    <n v="146"/>
    <x v="0"/>
    <x v="0"/>
    <n v="856960.67642465525"/>
    <n v="201778.8472447235"/>
    <n v="655181.82917993178"/>
    <n v="94726.442748990448"/>
    <n v="3318.5899999999901"/>
    <m/>
    <n v="0.23545870049320061"/>
  </r>
  <r>
    <x v="5"/>
    <n v="156"/>
    <x v="0"/>
    <x v="0"/>
    <n v="955165.18868548679"/>
    <n v="305983.74483223859"/>
    <n v="649181.44385324814"/>
    <n v="115334.07550007117"/>
    <n v="4265.1499999999869"/>
    <m/>
    <n v="0.32034641594647956"/>
  </r>
  <r>
    <x v="5"/>
    <n v="250"/>
    <x v="0"/>
    <x v="0"/>
    <n v="2730364.3199935695"/>
    <n v="1178497.4210856643"/>
    <n v="1551866.8989079052"/>
    <n v="428363.25977491826"/>
    <n v="10315.439999999955"/>
    <m/>
    <n v="0.43162643624365843"/>
  </r>
  <r>
    <x v="5"/>
    <n v="252"/>
    <x v="0"/>
    <x v="0"/>
    <n v="134578.43829509523"/>
    <n v="42927.833688856423"/>
    <n v="91650.604606238805"/>
    <n v="20052.68819368261"/>
    <n v="506.15000000000026"/>
    <m/>
    <n v="0.31898002557235017"/>
  </r>
  <r>
    <x v="5"/>
    <n v="261"/>
    <x v="0"/>
    <x v="0"/>
    <n v="637625.25612048525"/>
    <n v="264603.74925871426"/>
    <n v="373021.50686177099"/>
    <n v="92623.87710815687"/>
    <n v="2277"/>
    <m/>
    <n v="0.4149831687481258"/>
  </r>
  <r>
    <x v="5"/>
    <n v="262"/>
    <x v="7"/>
    <x v="0"/>
    <n v="240032.70814741889"/>
    <n v="40790.648659634797"/>
    <n v="199242.05948778411"/>
    <n v="23081.544469575081"/>
    <n v="1029.1399999999996"/>
    <m/>
    <n v="0.16993787627718945"/>
  </r>
  <r>
    <x v="5"/>
    <n v="263"/>
    <x v="0"/>
    <x v="0"/>
    <n v="494562.18119042413"/>
    <n v="211374.15961358708"/>
    <n v="283188.02157683705"/>
    <n v="74728.730371274389"/>
    <n v="1666.440000000001"/>
    <m/>
    <n v="0.42739652899622033"/>
  </r>
  <r>
    <x v="5"/>
    <n v="264"/>
    <x v="0"/>
    <x v="0"/>
    <n v="964070.6192929449"/>
    <n v="362344.33874125831"/>
    <n v="601726.28055168665"/>
    <n v="142055.4338984499"/>
    <n v="3761.5700000000165"/>
    <m/>
    <n v="0.37584833671936169"/>
  </r>
  <r>
    <x v="5"/>
    <n v="265"/>
    <x v="0"/>
    <x v="0"/>
    <n v="396609.32022687444"/>
    <n v="129715.88406118518"/>
    <n v="266893.43616568926"/>
    <n v="50090.229302344989"/>
    <n v="1839.3099999999963"/>
    <m/>
    <n v="0.32706211741817653"/>
  </r>
  <r>
    <x v="5"/>
    <n v="270"/>
    <x v="0"/>
    <x v="0"/>
    <n v="2062861.3166821783"/>
    <n v="963317.9513013782"/>
    <n v="1099543.3653808001"/>
    <n v="340371.87312160246"/>
    <n v="7490.4800000000196"/>
    <m/>
    <n v="0.46698144151092974"/>
  </r>
  <r>
    <x v="5"/>
    <n v="272"/>
    <x v="0"/>
    <x v="0"/>
    <n v="165546.67444086209"/>
    <n v="24021.911336557943"/>
    <n v="141524.76310430415"/>
    <n v="10466.150624573638"/>
    <n v="648.15000000000077"/>
    <m/>
    <n v="0.14510657745129904"/>
  </r>
  <r>
    <x v="5"/>
    <n v="275"/>
    <x v="0"/>
    <x v="0"/>
    <n v="704732.26872765506"/>
    <n v="273857.10851058754"/>
    <n v="430875.16021706752"/>
    <n v="103058.90934633436"/>
    <n v="2765.2899999999931"/>
    <m/>
    <n v="0.38859737330464156"/>
  </r>
  <r>
    <x v="5"/>
    <n v="288"/>
    <x v="0"/>
    <x v="0"/>
    <n v="1134765.8317502292"/>
    <n v="396927.03925204166"/>
    <n v="737838.79249818763"/>
    <n v="139538.99371854746"/>
    <n v="4260.520000000015"/>
    <m/>
    <n v="0.34978761974162825"/>
  </r>
  <r>
    <x v="5"/>
    <n v="294"/>
    <x v="0"/>
    <x v="0"/>
    <n v="794054.72782393638"/>
    <n v="164547.83209057816"/>
    <n v="629506.89573335822"/>
    <n v="70717.570364809944"/>
    <n v="4143.6799999999985"/>
    <m/>
    <n v="0.20722479990958872"/>
  </r>
  <r>
    <x v="5"/>
    <n v="351"/>
    <x v="0"/>
    <x v="0"/>
    <n v="430619.37423918245"/>
    <n v="186519.52721542286"/>
    <n v="244099.84702375959"/>
    <n v="73320.104747075078"/>
    <n v="1769.7200000000003"/>
    <m/>
    <n v="0.43314244173283012"/>
  </r>
  <r>
    <x v="5"/>
    <n v="353"/>
    <x v="0"/>
    <x v="0"/>
    <n v="63219.481364536485"/>
    <n v="15755.854024078901"/>
    <n v="47463.627340457584"/>
    <n v="8122.9361289431272"/>
    <n v="201.7199999999996"/>
    <m/>
    <n v="0.24922466435982632"/>
  </r>
  <r>
    <x v="5"/>
    <n v="355"/>
    <x v="0"/>
    <x v="0"/>
    <n v="1379128.867411989"/>
    <n v="707597.71454402036"/>
    <n v="671531.15286796866"/>
    <n v="249820.48054742953"/>
    <n v="5349.439999999985"/>
    <m/>
    <n v="0.51307584901175063"/>
  </r>
  <r>
    <x v="5"/>
    <n v="361"/>
    <x v="0"/>
    <x v="0"/>
    <n v="461778.7553593833"/>
    <n v="134184.45585986896"/>
    <n v="327594.29949951434"/>
    <n v="51104.68869885966"/>
    <n v="1641.6900000000014"/>
    <m/>
    <n v="0.2905817002244695"/>
  </r>
  <r>
    <x v="5"/>
    <n v="365"/>
    <x v="0"/>
    <x v="0"/>
    <n v="1222622.3876612778"/>
    <n v="469615.12617848028"/>
    <n v="753007.26148279756"/>
    <n v="162455.61074022294"/>
    <n v="4171.1500000000133"/>
    <m/>
    <n v="0.38410479876521375"/>
  </r>
  <r>
    <x v="5"/>
    <n v="375"/>
    <x v="0"/>
    <x v="0"/>
    <n v="948039.19402706984"/>
    <n v="490558.41552410985"/>
    <n v="457480.77850295999"/>
    <n v="168915.78775606482"/>
    <n v="3340.9400000000151"/>
    <m/>
    <n v="0.51744528983060445"/>
  </r>
  <r>
    <x v="5"/>
    <n v="415"/>
    <x v="5"/>
    <x v="0"/>
    <n v="62904.573457015409"/>
    <n v="2070.9583820097164"/>
    <n v="60833.615075005691"/>
    <n v="3053.7509850093943"/>
    <n v="270.70999999999873"/>
    <m/>
    <n v="3.2922222792351734E-2"/>
  </r>
  <r>
    <x v="5"/>
    <n v="452"/>
    <x v="0"/>
    <x v="0"/>
    <n v="269926.95706273185"/>
    <n v="86741.814650299129"/>
    <n v="183185.1424124327"/>
    <n v="31286.425682694753"/>
    <n v="1295.3599999999949"/>
    <m/>
    <n v="0.32135291559686668"/>
  </r>
  <r>
    <x v="5"/>
    <n v="467"/>
    <x v="0"/>
    <x v="0"/>
    <n v="1760798.6264715514"/>
    <n v="846560.0990867503"/>
    <n v="914238.52738480107"/>
    <n v="290882.22867670329"/>
    <n v="5792.1599999999808"/>
    <m/>
    <n v="0.48078189428348461"/>
  </r>
  <r>
    <x v="5"/>
    <n v="515"/>
    <x v="5"/>
    <x v="0"/>
    <n v="3276392.6293363599"/>
    <n v="334540.14240893041"/>
    <n v="2941852.4869274297"/>
    <n v="375224.46588529664"/>
    <n v="15885.500000000018"/>
    <m/>
    <n v="0.10210624313261632"/>
  </r>
  <r>
    <x v="5"/>
    <n v="535"/>
    <x v="0"/>
    <x v="0"/>
    <n v="3715265.6160687543"/>
    <n v="576140.50284665648"/>
    <n v="3139125.113222098"/>
    <n v="366046.61645752384"/>
    <n v="18712.449999999943"/>
    <m/>
    <n v="0.15507383923098608"/>
  </r>
  <r>
    <x v="5"/>
    <n v="552"/>
    <x v="0"/>
    <x v="0"/>
    <n v="553702.9863378976"/>
    <n v="120431.07983524525"/>
    <n v="433271.90650265233"/>
    <n v="44282.501121275833"/>
    <n v="2205.3700000000035"/>
    <m/>
    <n v="0.21750122864923851"/>
  </r>
  <r>
    <x v="5"/>
    <n v="553"/>
    <x v="0"/>
    <x v="0"/>
    <n v="632703.61681472824"/>
    <n v="138897.5042828657"/>
    <n v="493806.11253186257"/>
    <n v="53221.776253344768"/>
    <n v="2460.9599999999991"/>
    <m/>
    <n v="0.21953012530911203"/>
  </r>
  <r>
    <x v="5"/>
    <n v="554"/>
    <x v="0"/>
    <x v="0"/>
    <n v="686044.06583151687"/>
    <n v="165914.65915910376"/>
    <n v="520129.40667241311"/>
    <n v="74726.655812181314"/>
    <n v="3117.9599999999846"/>
    <m/>
    <n v="0.24184256875395838"/>
  </r>
  <r>
    <x v="5"/>
    <n v="558"/>
    <x v="0"/>
    <x v="0"/>
    <n v="569701.40815493907"/>
    <n v="96851.964076723874"/>
    <n v="472849.44407821517"/>
    <n v="38029.780014741649"/>
    <n v="2360.4999999999955"/>
    <m/>
    <n v="0.17000478266394506"/>
  </r>
  <r>
    <x v="5"/>
    <n v="578"/>
    <x v="0"/>
    <x v="0"/>
    <n v="843463.6409996727"/>
    <n v="263110.16665091686"/>
    <n v="580353.47434875579"/>
    <n v="99808.075247482659"/>
    <n v="3532.4900000000162"/>
    <m/>
    <n v="0.31194014046542518"/>
  </r>
  <r>
    <x v="5"/>
    <n v="579"/>
    <x v="0"/>
    <x v="0"/>
    <n v="193049.548460194"/>
    <n v="40751.086335762644"/>
    <n v="152298.46212443136"/>
    <n v="20954.084119624582"/>
    <n v="559.90000000000089"/>
    <m/>
    <n v="0.2110913320481832"/>
  </r>
  <r>
    <x v="5"/>
    <n v="587"/>
    <x v="0"/>
    <x v="0"/>
    <n v="426988.99486862961"/>
    <n v="166735.62372249397"/>
    <n v="260253.37114613564"/>
    <n v="58783.669181884296"/>
    <n v="1769.0200000000032"/>
    <m/>
    <n v="0.39049161858092618"/>
  </r>
  <r>
    <x v="5"/>
    <n v="588"/>
    <x v="0"/>
    <x v="0"/>
    <n v="182026.39655324596"/>
    <n v="15507.396776303656"/>
    <n v="166518.99977694231"/>
    <n v="9253.5708346701103"/>
    <n v="809.60000000000286"/>
    <m/>
    <n v="8.5193120722836857E-2"/>
  </r>
  <r>
    <x v="5"/>
    <n v="589"/>
    <x v="0"/>
    <x v="0"/>
    <n v="466092.5811493154"/>
    <n v="122277.88423674619"/>
    <n v="343814.69691256923"/>
    <n v="44277.314723543139"/>
    <n v="2231.4599999999987"/>
    <m/>
    <n v="0.26234677225547554"/>
  </r>
  <r>
    <x v="5"/>
    <n v="597"/>
    <x v="0"/>
    <x v="0"/>
    <n v="1074452.0290258287"/>
    <n v="357446.30840442289"/>
    <n v="717005.72062140587"/>
    <n v="131302.99411903165"/>
    <n v="4408.9600000000137"/>
    <m/>
    <n v="0.3326777731794206"/>
  </r>
  <r>
    <x v="5"/>
    <n v="612"/>
    <x v="5"/>
    <x v="0"/>
    <n v="1262192.1476565928"/>
    <n v="127212.69631488824"/>
    <n v="1134979.4513417045"/>
    <n v="155729.89016046718"/>
    <n v="6791.3100000000031"/>
    <m/>
    <n v="0.1007871080097222"/>
  </r>
  <r>
    <x v="5"/>
    <n v="643"/>
    <x v="0"/>
    <x v="0"/>
    <n v="287561.79988392652"/>
    <n v="32462.120925514955"/>
    <n v="255099.67895841156"/>
    <n v="28360.260081909597"/>
    <n v="1277.649999999994"/>
    <m/>
    <n v="0.11288745910833148"/>
  </r>
  <r>
    <x v="5"/>
    <n v="645"/>
    <x v="0"/>
    <x v="0"/>
    <n v="3393509.4929165868"/>
    <n v="515340.78204485832"/>
    <n v="2878168.7108717286"/>
    <n v="373026.47052618151"/>
    <n v="18005.15999999992"/>
    <m/>
    <n v="0.15186071620561267"/>
  </r>
  <r>
    <x v="5"/>
    <n v="652"/>
    <x v="0"/>
    <x v="0"/>
    <n v="208335.64584013892"/>
    <n v="79892.166583884085"/>
    <n v="128443.47925625484"/>
    <n v="35499.855200734208"/>
    <n v="901.69999999999516"/>
    <m/>
    <n v="0.38347814298272948"/>
  </r>
  <r>
    <x v="5"/>
    <n v="663"/>
    <x v="0"/>
    <x v="0"/>
    <n v="574022.10966337775"/>
    <n v="337801.19012902334"/>
    <n v="236220.91953435441"/>
    <n v="124212.15113889433"/>
    <n v="2311.8199999999852"/>
    <m/>
    <n v="0.58848114809918939"/>
  </r>
  <r>
    <x v="5"/>
    <n v="664"/>
    <x v="0"/>
    <x v="0"/>
    <n v="448875.78201321285"/>
    <n v="126788.34038965523"/>
    <n v="322087.44162355759"/>
    <n v="49723.032342870356"/>
    <n v="1774.6"/>
    <m/>
    <n v="0.28245752047706413"/>
  </r>
  <r>
    <x v="5"/>
    <n v="667"/>
    <x v="0"/>
    <x v="0"/>
    <n v="771087.07773039432"/>
    <n v="285129.02435864648"/>
    <n v="485958.05337174784"/>
    <n v="104929.1243687433"/>
    <n v="3117.9799999999873"/>
    <m/>
    <n v="0.36977538930867676"/>
  </r>
  <r>
    <x v="5"/>
    <n v="668"/>
    <x v="0"/>
    <x v="0"/>
    <n v="286691.33392121474"/>
    <n v="90146.125789316444"/>
    <n v="196545.20813189831"/>
    <n v="33534.210460043716"/>
    <n v="1345.8799999999949"/>
    <m/>
    <n v="0.31443617271699387"/>
  </r>
  <r>
    <x v="5"/>
    <n v="672"/>
    <x v="0"/>
    <x v="0"/>
    <n v="689695.0723575817"/>
    <n v="142344.38272621203"/>
    <n v="547350.68963136966"/>
    <n v="59257.705934652397"/>
    <n v="3124.5499999999861"/>
    <m/>
    <n v="0.20638741442596775"/>
  </r>
  <r>
    <x v="5"/>
    <n v="673"/>
    <x v="0"/>
    <x v="0"/>
    <n v="773230.92676020111"/>
    <n v="458210.08384232392"/>
    <n v="315020.84291787719"/>
    <n v="160492.04055862551"/>
    <n v="2879.5400000000091"/>
    <m/>
    <n v="0.59259151177799008"/>
  </r>
  <r>
    <x v="5"/>
    <n v="674"/>
    <x v="0"/>
    <x v="0"/>
    <n v="304009.8936911872"/>
    <n v="73978.813840536939"/>
    <n v="230031.07985065028"/>
    <n v="26870.726653080288"/>
    <n v="1370.6900000000028"/>
    <m/>
    <n v="0.24334344169629069"/>
  </r>
  <r>
    <x v="5"/>
    <n v="677"/>
    <x v="0"/>
    <x v="0"/>
    <n v="406711.12585417664"/>
    <n v="112180.45719511287"/>
    <n v="294530.66865906375"/>
    <n v="42850.018067506142"/>
    <n v="1673.2600000000048"/>
    <m/>
    <n v="0.27582342863011416"/>
  </r>
  <r>
    <x v="5"/>
    <n v="679"/>
    <x v="0"/>
    <x v="0"/>
    <n v="109207.03701226129"/>
    <n v="5893.2935231545016"/>
    <n v="103313.7434891068"/>
    <n v="2649.2119618593729"/>
    <n v="465.51999999999759"/>
    <m/>
    <n v="5.3964411858302024E-2"/>
  </r>
  <r>
    <x v="5"/>
    <n v="721"/>
    <x v="5"/>
    <x v="0"/>
    <n v="1306906.3202372193"/>
    <n v="246663.04028816606"/>
    <n v="1060243.2799490532"/>
    <n v="235077.62635247756"/>
    <n v="7104.1400000000185"/>
    <m/>
    <n v="0.18873811876844679"/>
  </r>
  <r>
    <x v="5"/>
    <n v="722"/>
    <x v="5"/>
    <x v="0"/>
    <n v="1284733.5032028321"/>
    <n v="170984.02216413134"/>
    <n v="1113749.4810387008"/>
    <n v="203074.44050312473"/>
    <n v="6675.0599999999704"/>
    <m/>
    <n v="0.1330890972624823"/>
  </r>
  <r>
    <x v="5"/>
    <n v="723"/>
    <x v="5"/>
    <x v="0"/>
    <n v="1077782.6270695706"/>
    <n v="141727.708051739"/>
    <n v="936054.91901783156"/>
    <n v="163730.42730291878"/>
    <n v="5508.059999999974"/>
    <m/>
    <n v="0.13149934364509897"/>
  </r>
  <r>
    <x v="5"/>
    <n v="724"/>
    <x v="5"/>
    <x v="0"/>
    <n v="2609322.7962907818"/>
    <n v="459916.27857387526"/>
    <n v="2149406.5177169065"/>
    <n v="511737.71516659122"/>
    <n v="12672.339999999944"/>
    <m/>
    <n v="0.17625886656402107"/>
  </r>
  <r>
    <x v="5"/>
    <n v="755"/>
    <x v="0"/>
    <x v="0"/>
    <n v="1095556.3594045658"/>
    <n v="158592.77060874683"/>
    <n v="936963.58879581897"/>
    <n v="108535.74535205774"/>
    <n v="5569.7099999999909"/>
    <m/>
    <n v="0.14476002922838394"/>
  </r>
  <r>
    <x v="5"/>
    <n v="756"/>
    <x v="0"/>
    <x v="0"/>
    <n v="309917.51103053964"/>
    <n v="145361.94897785754"/>
    <n v="164555.5620526821"/>
    <n v="50753.050932583101"/>
    <n v="1369.9000000000028"/>
    <m/>
    <n v="0.46903431979206039"/>
  </r>
  <r>
    <x v="5"/>
    <n v="758"/>
    <x v="0"/>
    <x v="0"/>
    <n v="597163.02786324418"/>
    <n v="290877.8934476999"/>
    <n v="306285.13441554428"/>
    <n v="108774.31964776159"/>
    <n v="2360.4899999999916"/>
    <m/>
    <n v="0.48709963590430722"/>
  </r>
  <r>
    <x v="5"/>
    <n v="760"/>
    <x v="0"/>
    <x v="0"/>
    <n v="724142.42206679645"/>
    <n v="298175.89825728274"/>
    <n v="425966.52380951372"/>
    <n v="124622.91383932359"/>
    <n v="3274.52000000001"/>
    <m/>
    <n v="0.41176416292012008"/>
  </r>
  <r>
    <x v="5"/>
    <n v="761"/>
    <x v="0"/>
    <x v="0"/>
    <n v="460022.69685324776"/>
    <n v="141092.65226304281"/>
    <n v="318930.04459020495"/>
    <n v="63696.225114290719"/>
    <n v="1977.4599999999989"/>
    <m/>
    <n v="0.30670802381747025"/>
  </r>
  <r>
    <x v="5"/>
    <n v="762"/>
    <x v="0"/>
    <x v="0"/>
    <n v="150516.35378929728"/>
    <n v="34398.850342830898"/>
    <n v="116117.50344646638"/>
    <n v="23145.855801460468"/>
    <n v="568.62"/>
    <m/>
    <n v="0.22853895591295467"/>
  </r>
  <r>
    <x v="5"/>
    <n v="763"/>
    <x v="0"/>
    <x v="0"/>
    <n v="424288.21263993118"/>
    <n v="117665.6392490756"/>
    <n v="306622.57339085557"/>
    <n v="48676.417280412992"/>
    <n v="1972.8100000000068"/>
    <m/>
    <n v="0.27732478947967287"/>
  </r>
  <r>
    <x v="5"/>
    <n v="764"/>
    <x v="0"/>
    <x v="0"/>
    <n v="311061.63058974507"/>
    <n v="130385.50688156554"/>
    <n v="180676.12370817951"/>
    <n v="51911.692186066626"/>
    <n v="1419.9999999999966"/>
    <m/>
    <n v="0.4191629376929783"/>
  </r>
  <r>
    <x v="5"/>
    <n v="765"/>
    <x v="0"/>
    <x v="0"/>
    <n v="316907.3664625528"/>
    <n v="62503.427643685529"/>
    <n v="254403.93881886726"/>
    <n v="33453.30265541371"/>
    <n v="1193.3999999999976"/>
    <m/>
    <n v="0.19722933026572992"/>
  </r>
  <r>
    <x v="5"/>
    <n v="766"/>
    <x v="0"/>
    <x v="0"/>
    <n v="1516177.0637940096"/>
    <n v="321880.43292415835"/>
    <n v="1194296.6308698512"/>
    <n v="135159.59947306185"/>
    <n v="6571.1299999999665"/>
    <m/>
    <n v="0.2122973896720875"/>
  </r>
  <r>
    <x v="5"/>
    <n v="767"/>
    <x v="0"/>
    <x v="0"/>
    <n v="418159.19716472214"/>
    <n v="97402.334052544553"/>
    <n v="320756.86311217758"/>
    <n v="40488.132540037936"/>
    <n v="1607.8699999999919"/>
    <m/>
    <n v="0.23293122502857597"/>
  </r>
  <r>
    <x v="5"/>
    <n v="768"/>
    <x v="0"/>
    <x v="0"/>
    <n v="1520660.032259173"/>
    <n v="912410.42127858079"/>
    <n v="608249.6109805922"/>
    <n v="339431.06057289202"/>
    <n v="5466.1400000000031"/>
    <m/>
    <n v="0.60000947083685474"/>
  </r>
  <r>
    <x v="5"/>
    <n v="824"/>
    <x v="7"/>
    <x v="0"/>
    <n v="281618.42880834889"/>
    <n v="80265.95493214317"/>
    <n v="201352.47387620574"/>
    <n v="40912.379874572194"/>
    <n v="1164.9000000000019"/>
    <m/>
    <n v="0.28501669891343273"/>
  </r>
  <r>
    <x v="5"/>
    <n v="825"/>
    <x v="7"/>
    <x v="0"/>
    <n v="965458.13928721461"/>
    <n v="273539.40012228349"/>
    <n v="691918.73916493112"/>
    <n v="138891.73128150744"/>
    <n v="4634.1200000000035"/>
    <m/>
    <n v="0.2833260076135814"/>
  </r>
  <r>
    <x v="5"/>
    <n v="850"/>
    <x v="0"/>
    <x v="0"/>
    <n v="2474652.2233677288"/>
    <n v="1281070.5264772258"/>
    <n v="1193581.6968905029"/>
    <n v="463539.48375713249"/>
    <n v="9403.360000000017"/>
    <m/>
    <n v="0.51767699492489905"/>
  </r>
  <r>
    <x v="5"/>
    <n v="852"/>
    <x v="0"/>
    <x v="0"/>
    <n v="2059167.6807013811"/>
    <n v="345957.08758975373"/>
    <n v="1713210.5931116273"/>
    <n v="224124.99162057735"/>
    <n v="10857.350000000022"/>
    <m/>
    <n v="0.16800821556791137"/>
  </r>
  <r>
    <x v="5"/>
    <n v="854"/>
    <x v="0"/>
    <x v="0"/>
    <n v="951096.13847432157"/>
    <n v="305386.31959426374"/>
    <n v="645709.81888005789"/>
    <n v="126064.73240901213"/>
    <n v="3812.180000000013"/>
    <m/>
    <n v="0.32108880189981848"/>
  </r>
  <r>
    <x v="5"/>
    <n v="860"/>
    <x v="0"/>
    <x v="0"/>
    <n v="946860.69587534992"/>
    <n v="268782.223366149"/>
    <n v="678078.47250920092"/>
    <n v="125251.50524452592"/>
    <n v="3693.7999999999847"/>
    <m/>
    <n v="0.2838667023956109"/>
  </r>
  <r>
    <x v="5"/>
    <n v="865"/>
    <x v="0"/>
    <x v="0"/>
    <n v="896787.58829204843"/>
    <n v="311742.63377495832"/>
    <n v="585044.95451709011"/>
    <n v="129000.23352571613"/>
    <n v="3229.419999999991"/>
    <m/>
    <n v="0.34762148567274331"/>
  </r>
  <r>
    <x v="5"/>
    <n v="921"/>
    <x v="8"/>
    <x v="0"/>
    <n v="5888698.1123145726"/>
    <n v="1406324.1759258409"/>
    <n v="4482373.9363887319"/>
    <n v="1232476"/>
    <n v="27165.830000000129"/>
    <m/>
    <n v="0.23881750246033251"/>
  </r>
  <r>
    <x v="5"/>
    <n v="2"/>
    <x v="7"/>
    <x v="1"/>
    <n v="899508.99767626182"/>
    <n v="116567.63109785"/>
    <n v="782941.36657841178"/>
    <n v="160818.78361578516"/>
    <n v="5012.3199999999961"/>
    <m/>
    <n v="0.12959028914550483"/>
  </r>
  <r>
    <x v="5"/>
    <n v="3"/>
    <x v="7"/>
    <x v="1"/>
    <n v="981675.20895271678"/>
    <n v="100224.47901019265"/>
    <n v="881450.72994252411"/>
    <n v="123263.04035381159"/>
    <n v="5338.3199999999961"/>
    <m/>
    <n v="0.10209535505853856"/>
  </r>
  <r>
    <x v="5"/>
    <n v="4"/>
    <x v="7"/>
    <x v="1"/>
    <n v="1246919.8017136559"/>
    <n v="147067.72418291651"/>
    <n v="1099852.0775307394"/>
    <n v="156183.1813223045"/>
    <n v="6860.06"/>
    <m/>
    <n v="0.11794481407769744"/>
  </r>
  <r>
    <x v="5"/>
    <n v="5"/>
    <x v="7"/>
    <x v="1"/>
    <n v="2020622.4027632892"/>
    <n v="382708.05711591325"/>
    <n v="1637914.345647376"/>
    <n v="478408.88605676213"/>
    <n v="11219.44"/>
    <m/>
    <n v="0.18940107592222244"/>
  </r>
  <r>
    <x v="5"/>
    <n v="6"/>
    <x v="7"/>
    <x v="1"/>
    <n v="1360931.5908170936"/>
    <n v="185778.56537848199"/>
    <n v="1175153.0254386116"/>
    <n v="220674.99984879026"/>
    <n v="7383.4799999999923"/>
    <m/>
    <n v="0.1365083789898226"/>
  </r>
  <r>
    <x v="5"/>
    <n v="7"/>
    <x v="7"/>
    <x v="1"/>
    <n v="639957.49983732391"/>
    <n v="42424.304333728789"/>
    <n v="597533.19550359517"/>
    <n v="53115.973739597837"/>
    <n v="3727.3599999999974"/>
    <m/>
    <n v="6.6292377766512575E-2"/>
  </r>
  <r>
    <x v="5"/>
    <n v="9"/>
    <x v="7"/>
    <x v="1"/>
    <n v="697816.67105549306"/>
    <n v="68139.512401305634"/>
    <n v="629677.15865418746"/>
    <n v="81346.573878190131"/>
    <n v="3913.7799999999961"/>
    <m/>
    <n v="9.7646724745397942E-2"/>
  </r>
  <r>
    <x v="5"/>
    <n v="10"/>
    <x v="7"/>
    <x v="1"/>
    <n v="1331449.8850120723"/>
    <n v="179688.98223905513"/>
    <n v="1151760.9027730171"/>
    <n v="233790.36243522327"/>
    <n v="7345.5600000000022"/>
    <m/>
    <n v="0.13495737561119386"/>
  </r>
  <r>
    <x v="5"/>
    <n v="11"/>
    <x v="7"/>
    <x v="1"/>
    <n v="971114.10532929306"/>
    <n v="99484.190366925453"/>
    <n v="871629.91496236762"/>
    <n v="118021.66680515248"/>
    <n v="5571.7999999999975"/>
    <m/>
    <n v="0.1024433584281958"/>
  </r>
  <r>
    <x v="5"/>
    <n v="14"/>
    <x v="7"/>
    <x v="1"/>
    <n v="964835.19919067959"/>
    <n v="107261.07978931753"/>
    <n v="857574.11940136203"/>
    <n v="133117.1960459275"/>
    <n v="5547.6599999999953"/>
    <m/>
    <n v="0.11117036347688183"/>
  </r>
  <r>
    <x v="5"/>
    <n v="16"/>
    <x v="6"/>
    <x v="1"/>
    <n v="372541.55517255847"/>
    <n v="13238.343838461513"/>
    <n v="359303.21133409697"/>
    <n v="24089.78018881052"/>
    <n v="1928.4099999999989"/>
    <m/>
    <n v="3.5535213869844963E-2"/>
  </r>
  <r>
    <x v="5"/>
    <n v="17"/>
    <x v="7"/>
    <x v="1"/>
    <n v="876281.44542323577"/>
    <n v="124783.15985907489"/>
    <n v="751498.28556416091"/>
    <n v="150222.97304789419"/>
    <n v="4836"/>
    <m/>
    <n v="0.14240077832391601"/>
  </r>
  <r>
    <x v="5"/>
    <n v="18"/>
    <x v="7"/>
    <x v="1"/>
    <n v="1652530.8126070586"/>
    <n v="228387.64674101837"/>
    <n v="1424143.1658660402"/>
    <n v="330072.72450402152"/>
    <n v="9137.2200000000066"/>
    <m/>
    <n v="0.13820477355015875"/>
  </r>
  <r>
    <x v="5"/>
    <n v="19"/>
    <x v="7"/>
    <x v="1"/>
    <n v="915852.58056224894"/>
    <n v="151705.2090551389"/>
    <n v="764147.37150711007"/>
    <n v="186948.89267263692"/>
    <n v="4576.7299999999977"/>
    <m/>
    <n v="0.16564369886036234"/>
  </r>
  <r>
    <x v="5"/>
    <n v="21"/>
    <x v="7"/>
    <x v="1"/>
    <n v="1924329.3402468034"/>
    <n v="283673.99916242558"/>
    <n v="1640655.3410843778"/>
    <n v="433083.91899121512"/>
    <n v="10649.379999999992"/>
    <m/>
    <n v="0.1474144748663673"/>
  </r>
  <r>
    <x v="5"/>
    <n v="22"/>
    <x v="7"/>
    <x v="1"/>
    <n v="1131684.1347163571"/>
    <n v="144312.55711759455"/>
    <n v="987371.57759876258"/>
    <n v="175112.49576708593"/>
    <n v="6438.1200000000063"/>
    <m/>
    <n v="0.12752017342168073"/>
  </r>
  <r>
    <x v="5"/>
    <n v="23"/>
    <x v="6"/>
    <x v="1"/>
    <n v="511450.32098199677"/>
    <n v="42937.775491082255"/>
    <n v="468512.54549091449"/>
    <n v="51007.184421485043"/>
    <n v="2756.2900000000013"/>
    <m/>
    <n v="8.395297398316362E-2"/>
  </r>
  <r>
    <x v="5"/>
    <n v="25"/>
    <x v="7"/>
    <x v="1"/>
    <n v="149808.1547832998"/>
    <n v="9075.6166091352188"/>
    <n v="140732.5381741646"/>
    <n v="9581.3511713762819"/>
    <n v="878.79999999999927"/>
    <m/>
    <n v="6.0581592652704797E-2"/>
  </r>
  <r>
    <x v="5"/>
    <n v="32"/>
    <x v="6"/>
    <x v="1"/>
    <n v="336118.12396505638"/>
    <n v="35016.266505988053"/>
    <n v="301101.8574590683"/>
    <n v="46003.347888983233"/>
    <n v="1761.239999999998"/>
    <m/>
    <n v="0.10417845397003472"/>
  </r>
  <r>
    <x v="5"/>
    <n v="46"/>
    <x v="6"/>
    <x v="1"/>
    <n v="397140.12569544825"/>
    <n v="20759.8782170296"/>
    <n v="376380.24747841863"/>
    <n v="25340.739321935973"/>
    <n v="2256.239999999998"/>
    <m/>
    <n v="5.227343417056167E-2"/>
  </r>
  <r>
    <x v="5"/>
    <n v="54"/>
    <x v="7"/>
    <x v="1"/>
    <n v="1013024.3599036513"/>
    <n v="161761.57128267162"/>
    <n v="851262.78862097964"/>
    <n v="176793.92591202483"/>
    <n v="5526.2399999999961"/>
    <m/>
    <n v="0.15968181781734919"/>
  </r>
  <r>
    <x v="5"/>
    <n v="61"/>
    <x v="7"/>
    <x v="1"/>
    <n v="287460.03925005492"/>
    <n v="26988.519754027286"/>
    <n v="260471.51949602764"/>
    <n v="31527.074537491684"/>
    <n v="1546.4800000000002"/>
    <m/>
    <n v="9.3886161792911288E-2"/>
  </r>
  <r>
    <x v="5"/>
    <n v="62"/>
    <x v="7"/>
    <x v="1"/>
    <n v="691805.91793856851"/>
    <n v="66364.271414256553"/>
    <n v="625441.64652431197"/>
    <n v="82464.761229358643"/>
    <n v="3747.6400000000026"/>
    <m/>
    <n v="9.5929031095899953E-2"/>
  </r>
  <r>
    <x v="5"/>
    <n v="63"/>
    <x v="7"/>
    <x v="1"/>
    <n v="986308.06808127218"/>
    <n v="117419.34792877251"/>
    <n v="868888.72015249962"/>
    <n v="137489.32933458735"/>
    <n v="5649.2800000000016"/>
    <m/>
    <n v="0.11904936371168071"/>
  </r>
  <r>
    <x v="5"/>
    <n v="64"/>
    <x v="7"/>
    <x v="1"/>
    <n v="939863.96472482709"/>
    <n v="115731.1635671023"/>
    <n v="824132.80115772481"/>
    <n v="147087.27697870825"/>
    <n v="5169.840000000002"/>
    <m/>
    <n v="0.12313607916756976"/>
  </r>
  <r>
    <x v="5"/>
    <n v="65"/>
    <x v="6"/>
    <x v="1"/>
    <n v="444770.97806582815"/>
    <n v="28679.465185402991"/>
    <n v="416091.51288042514"/>
    <n v="32822.636691118299"/>
    <n v="2077.4000000000015"/>
    <m/>
    <n v="6.4481422124530563E-2"/>
  </r>
  <r>
    <x v="5"/>
    <n v="67"/>
    <x v="7"/>
    <x v="1"/>
    <n v="488127.88381360378"/>
    <n v="23114.729200773552"/>
    <n v="465013.15461283026"/>
    <n v="28820.812200572695"/>
    <n v="2478.4900000000011"/>
    <m/>
    <n v="4.7353838957497722E-2"/>
  </r>
  <r>
    <x v="5"/>
    <n v="68"/>
    <x v="7"/>
    <x v="1"/>
    <n v="803213.1848723765"/>
    <n v="89338.908035873421"/>
    <n v="713874.27683650306"/>
    <n v="104873.11127323023"/>
    <n v="4627.4799999999941"/>
    <m/>
    <n v="0.11122689432702551"/>
  </r>
  <r>
    <x v="5"/>
    <n v="70"/>
    <x v="7"/>
    <x v="1"/>
    <n v="77255.573120302768"/>
    <n v="5745.4250692441274"/>
    <n v="71510.148051058641"/>
    <n v="6716.3850638368986"/>
    <n v="403"/>
    <m/>
    <n v="7.4369069274747623E-2"/>
  </r>
  <r>
    <x v="5"/>
    <n v="71"/>
    <x v="7"/>
    <x v="1"/>
    <n v="427606.4343903634"/>
    <n v="23261.524447377895"/>
    <n v="404344.90994298551"/>
    <n v="32239.685585963645"/>
    <n v="2127.3599999999997"/>
    <m/>
    <n v="5.4399378906778491E-2"/>
  </r>
  <r>
    <x v="5"/>
    <n v="74"/>
    <x v="7"/>
    <x v="1"/>
    <n v="933274.27610979637"/>
    <n v="101795.25449258354"/>
    <n v="831479.0216172128"/>
    <n v="126954.71825994216"/>
    <n v="5389.0000000000009"/>
    <m/>
    <n v="0.10907324577390119"/>
  </r>
  <r>
    <x v="5"/>
    <n v="84"/>
    <x v="6"/>
    <x v="1"/>
    <n v="330723.43522616441"/>
    <n v="21444.984491906896"/>
    <n v="309278.45073425752"/>
    <n v="28075.008206611503"/>
    <n v="1663.8000000000013"/>
    <m/>
    <n v="6.4842651616876787E-2"/>
  </r>
  <r>
    <x v="5"/>
    <n v="94"/>
    <x v="0"/>
    <x v="1"/>
    <n v="14177.731556965482"/>
    <n v="459.10832908817821"/>
    <n v="13718.623227877304"/>
    <n v="504.11785961771932"/>
    <n v="71.539999999999992"/>
    <m/>
    <n v="3.238235448622382E-2"/>
  </r>
  <r>
    <x v="5"/>
    <n v="515"/>
    <x v="5"/>
    <x v="1"/>
    <n v="530696.83222072537"/>
    <n v="48523.575608199986"/>
    <n v="482173.25661252538"/>
    <n v="59413.297866633176"/>
    <n v="2563.3500000000026"/>
    <m/>
    <n v="9.143370124360993E-2"/>
  </r>
  <r>
    <x v="5"/>
    <n v="535"/>
    <x v="0"/>
    <x v="1"/>
    <n v="295999.68163305748"/>
    <n v="7218.8606489783824"/>
    <n v="288780.8209840791"/>
    <n v="7814.8641036211875"/>
    <n v="1509.5700000000004"/>
    <m/>
    <n v="2.438806896396396E-2"/>
  </r>
  <r>
    <x v="5"/>
    <n v="612"/>
    <x v="5"/>
    <x v="1"/>
    <n v="385687.92895379913"/>
    <n v="29806.976781114674"/>
    <n v="355880.95217268448"/>
    <n v="37756.975494002021"/>
    <n v="2026.9600000000007"/>
    <m/>
    <n v="7.728262811327237E-2"/>
  </r>
  <r>
    <x v="5"/>
    <n v="645"/>
    <x v="0"/>
    <x v="1"/>
    <n v="217941.02459139016"/>
    <n v="19732.818825162023"/>
    <n v="198208.20576622814"/>
    <n v="21325.430197285372"/>
    <n v="1318.8000000000013"/>
    <m/>
    <n v="9.0542011822502808E-2"/>
  </r>
  <r>
    <x v="5"/>
    <n v="721"/>
    <x v="5"/>
    <x v="1"/>
    <n v="165092.87701954329"/>
    <n v="16517.577544176445"/>
    <n v="148575.29947536683"/>
    <n v="22301.510250578118"/>
    <n v="858"/>
    <m/>
    <n v="0.10005021320345114"/>
  </r>
  <r>
    <x v="5"/>
    <n v="722"/>
    <x v="5"/>
    <x v="1"/>
    <n v="249774.22612506535"/>
    <n v="26830.065573507472"/>
    <n v="222944.16055155787"/>
    <n v="32522.862902168665"/>
    <n v="1207.9600000000005"/>
    <m/>
    <n v="0.10741727034747489"/>
  </r>
  <r>
    <x v="5"/>
    <n v="723"/>
    <x v="5"/>
    <x v="1"/>
    <n v="92067.245923413837"/>
    <n v="13071.664987405511"/>
    <n v="78995.580936008322"/>
    <n v="15872.45162113239"/>
    <n v="466.96000000000032"/>
    <m/>
    <n v="0.1419795374163704"/>
  </r>
  <r>
    <x v="5"/>
    <n v="724"/>
    <x v="5"/>
    <x v="1"/>
    <n v="281713.31372371531"/>
    <n v="50763.300717297432"/>
    <n v="230950.0130064179"/>
    <n v="59207.916516418547"/>
    <n v="1252.5600000000006"/>
    <m/>
    <n v="0.18019489404424288"/>
  </r>
  <r>
    <x v="5"/>
    <n v="852"/>
    <x v="0"/>
    <x v="1"/>
    <n v="180520.61420068741"/>
    <n v="18399.729491765898"/>
    <n v="162120.88470892151"/>
    <n v="15852.743309748155"/>
    <n v="1018.9999999999992"/>
    <m/>
    <n v="0.101925918949681"/>
  </r>
  <r>
    <x v="5"/>
    <n v="921"/>
    <x v="8"/>
    <x v="1"/>
    <n v="1141729.5594519179"/>
    <n v="192557.91646902473"/>
    <n v="949171.64298289316"/>
    <n v="207630"/>
    <n v="5219.9999999999982"/>
    <m/>
    <n v="0.16865457750035068"/>
  </r>
  <r>
    <x v="5"/>
    <n v="2"/>
    <x v="7"/>
    <x v="2"/>
    <n v="862044.58268712903"/>
    <n v="104537.65039096378"/>
    <n v="757506.93229616527"/>
    <n v="137876.23460544623"/>
    <n v="4607.6200000000008"/>
    <m/>
    <n v="0.12126710438235506"/>
  </r>
  <r>
    <x v="5"/>
    <n v="3"/>
    <x v="7"/>
    <x v="2"/>
    <n v="705975.3986333278"/>
    <n v="80411.920882192848"/>
    <n v="625563.47775113489"/>
    <n v="93079.242829087292"/>
    <n v="3922.6399999999971"/>
    <m/>
    <n v="0.11390187397161342"/>
  </r>
  <r>
    <x v="5"/>
    <n v="4"/>
    <x v="7"/>
    <x v="2"/>
    <n v="1003043.566922036"/>
    <n v="114712.73861583322"/>
    <n v="888330.82830620278"/>
    <n v="114865.22514503576"/>
    <n v="5420.4200000000028"/>
    <m/>
    <n v="0.11436466211317574"/>
  </r>
  <r>
    <x v="5"/>
    <n v="5"/>
    <x v="7"/>
    <x v="2"/>
    <n v="1739631.03948258"/>
    <n v="351626.81251820276"/>
    <n v="1388004.2269643773"/>
    <n v="413412.94967065862"/>
    <n v="9772.9300000000057"/>
    <m/>
    <n v="0.2021272353376653"/>
  </r>
  <r>
    <x v="5"/>
    <n v="6"/>
    <x v="7"/>
    <x v="2"/>
    <n v="1326568.1248736414"/>
    <n v="162164.74599825568"/>
    <n v="1164403.3788753857"/>
    <n v="187796.35006215889"/>
    <n v="7089.5699999999897"/>
    <m/>
    <n v="0.12224381315788228"/>
  </r>
  <r>
    <x v="5"/>
    <n v="7"/>
    <x v="7"/>
    <x v="2"/>
    <n v="706716.60108814889"/>
    <n v="38869.119760344227"/>
    <n v="667847.48132780462"/>
    <n v="45622.6662954036"/>
    <n v="4022.8800000000056"/>
    <m/>
    <n v="5.4999584982858035E-2"/>
  </r>
  <r>
    <x v="5"/>
    <n v="9"/>
    <x v="7"/>
    <x v="2"/>
    <n v="727891.06379563164"/>
    <n v="64263.653484880291"/>
    <n v="663627.41031075129"/>
    <n v="75457.937892490954"/>
    <n v="4005.0399999999977"/>
    <m/>
    <n v="8.8287460419933739E-2"/>
  </r>
  <r>
    <x v="5"/>
    <n v="10"/>
    <x v="7"/>
    <x v="2"/>
    <n v="1005678.3422530883"/>
    <n v="145250.30614874061"/>
    <n v="860428.03610434767"/>
    <n v="177924.56061775185"/>
    <n v="5122.6600000000044"/>
    <m/>
    <n v="0.14443018214285758"/>
  </r>
  <r>
    <x v="5"/>
    <n v="11"/>
    <x v="7"/>
    <x v="2"/>
    <n v="670253.29071331886"/>
    <n v="71820.750050998089"/>
    <n v="598432.5406623208"/>
    <n v="81074.806636997033"/>
    <n v="3735.0600000000045"/>
    <m/>
    <n v="0.10715463996388987"/>
  </r>
  <r>
    <x v="5"/>
    <n v="14"/>
    <x v="7"/>
    <x v="2"/>
    <n v="941573.2683451284"/>
    <n v="96539.494891359165"/>
    <n v="845033.77345376927"/>
    <n v="109726.54227148395"/>
    <n v="5066.2600000000011"/>
    <m/>
    <n v="0.1025299869239418"/>
  </r>
  <r>
    <x v="5"/>
    <n v="16"/>
    <x v="6"/>
    <x v="2"/>
    <n v="366332.78136269422"/>
    <n v="11934.172563747783"/>
    <n v="354398.60879894643"/>
    <n v="19928.21464809799"/>
    <n v="1980.6799999999985"/>
    <m/>
    <n v="3.2577408222531266E-2"/>
  </r>
  <r>
    <x v="5"/>
    <n v="17"/>
    <x v="7"/>
    <x v="2"/>
    <n v="735342.96751117066"/>
    <n v="107155.56399827501"/>
    <n v="628187.40351289569"/>
    <n v="123921.71286586356"/>
    <n v="4056.6599999999971"/>
    <m/>
    <n v="0.14572188588537391"/>
  </r>
  <r>
    <x v="5"/>
    <n v="18"/>
    <x v="7"/>
    <x v="2"/>
    <n v="1410471.1426444161"/>
    <n v="213977.10685719425"/>
    <n v="1196494.0357872217"/>
    <n v="290215.257928279"/>
    <n v="7574.0100000000039"/>
    <m/>
    <n v="0.15170612172612064"/>
  </r>
  <r>
    <x v="5"/>
    <n v="19"/>
    <x v="7"/>
    <x v="2"/>
    <n v="894079.93034484645"/>
    <n v="139526.07204557545"/>
    <n v="754553.85829927097"/>
    <n v="166353.70727611467"/>
    <n v="4472.1600000000035"/>
    <m/>
    <n v="0.1560554792810977"/>
  </r>
  <r>
    <x v="5"/>
    <n v="21"/>
    <x v="7"/>
    <x v="2"/>
    <n v="1536798.7187337126"/>
    <n v="245127.97333977566"/>
    <n v="1291670.745393937"/>
    <n v="351311.02321939764"/>
    <n v="8362.0000000000055"/>
    <m/>
    <n v="0.15950558153884692"/>
  </r>
  <r>
    <x v="5"/>
    <n v="22"/>
    <x v="7"/>
    <x v="2"/>
    <n v="905437.2421711284"/>
    <n v="124270.32286967496"/>
    <n v="781166.9193014534"/>
    <n v="146195.21656868514"/>
    <n v="5311.6399999999976"/>
    <m/>
    <n v="0.13724896335353937"/>
  </r>
  <r>
    <x v="5"/>
    <n v="23"/>
    <x v="6"/>
    <x v="2"/>
    <n v="458206.13202427147"/>
    <n v="34863.2173877186"/>
    <n v="423342.91463655286"/>
    <n v="39295.261061518642"/>
    <n v="2326.6200000000008"/>
    <m/>
    <n v="7.6086317818793117E-2"/>
  </r>
  <r>
    <x v="5"/>
    <n v="32"/>
    <x v="6"/>
    <x v="2"/>
    <n v="336404.15385485749"/>
    <n v="27889.867544638917"/>
    <n v="308514.28631021857"/>
    <n v="35150.291993550731"/>
    <n v="1749.020000000002"/>
    <m/>
    <n v="8.2905835808056272E-2"/>
  </r>
  <r>
    <x v="5"/>
    <n v="46"/>
    <x v="6"/>
    <x v="2"/>
    <n v="352090.41805178323"/>
    <n v="14301.033712889179"/>
    <n v="337789.38433889404"/>
    <n v="17664.870677550945"/>
    <n v="1858.4600000000007"/>
    <m/>
    <n v="4.0617503287993122E-2"/>
  </r>
  <r>
    <x v="5"/>
    <n v="54"/>
    <x v="7"/>
    <x v="2"/>
    <n v="733791.80541647994"/>
    <n v="137335.25592034269"/>
    <n v="596456.5494961373"/>
    <n v="138096.13786931237"/>
    <n v="3950.2200000000003"/>
    <m/>
    <n v="0.18715833960886902"/>
  </r>
  <r>
    <x v="5"/>
    <n v="62"/>
    <x v="7"/>
    <x v="2"/>
    <n v="469148.15045286232"/>
    <n v="52060.330285211065"/>
    <n v="417087.82016765128"/>
    <n v="60854.07915677518"/>
    <n v="2424.4"/>
    <m/>
    <n v="0.11096778327903017"/>
  </r>
  <r>
    <x v="5"/>
    <n v="63"/>
    <x v="7"/>
    <x v="2"/>
    <n v="1028903.144218713"/>
    <n v="98809.884460118803"/>
    <n v="930093.25975859421"/>
    <n v="112962.85445668412"/>
    <n v="5700.24"/>
    <m/>
    <n v="9.6034194292553221E-2"/>
  </r>
  <r>
    <x v="5"/>
    <n v="64"/>
    <x v="7"/>
    <x v="2"/>
    <n v="723134.44173398858"/>
    <n v="105570.95389806642"/>
    <n v="617563.48783592216"/>
    <n v="127489.95450595605"/>
    <n v="3953.279999999997"/>
    <m/>
    <n v="0.14599076991122162"/>
  </r>
  <r>
    <x v="5"/>
    <n v="65"/>
    <x v="6"/>
    <x v="2"/>
    <n v="453566.3971772106"/>
    <n v="23938.191410257801"/>
    <n v="429628.20576695283"/>
    <n v="26628.003239190268"/>
    <n v="2200.5200000000023"/>
    <m/>
    <n v="5.2777700374714999E-2"/>
  </r>
  <r>
    <x v="5"/>
    <n v="67"/>
    <x v="7"/>
    <x v="2"/>
    <n v="436675.50709823787"/>
    <n v="18727.467490166357"/>
    <n v="417948.0396080715"/>
    <n v="22981.965633107382"/>
    <n v="2211.1799999999976"/>
    <m/>
    <n v="4.2886461882445999E-2"/>
  </r>
  <r>
    <x v="5"/>
    <n v="68"/>
    <x v="7"/>
    <x v="2"/>
    <n v="540991.1579661608"/>
    <n v="70043.733393679038"/>
    <n v="470947.42457248177"/>
    <n v="83590.20953735293"/>
    <n v="3092.5600000000027"/>
    <m/>
    <n v="0.12947297263971236"/>
  </r>
  <r>
    <x v="5"/>
    <n v="70"/>
    <x v="7"/>
    <x v="2"/>
    <n v="85580.693085954466"/>
    <n v="4558.730968820103"/>
    <n v="81021.962117134361"/>
    <n v="5427.0465874895208"/>
    <n v="428.03999999999979"/>
    <m/>
    <n v="5.3268217449950563E-2"/>
  </r>
  <r>
    <x v="5"/>
    <n v="71"/>
    <x v="7"/>
    <x v="2"/>
    <n v="147134.87542862067"/>
    <n v="12056.391363044118"/>
    <n v="135078.48406557654"/>
    <n v="14009.497555549211"/>
    <n v="782.7499999999992"/>
    <m/>
    <n v="8.1941085197662869E-2"/>
  </r>
  <r>
    <x v="5"/>
    <n v="74"/>
    <x v="7"/>
    <x v="2"/>
    <n v="768042.50957645499"/>
    <n v="82492.382027075917"/>
    <n v="685550.12754937913"/>
    <n v="96379.866346172857"/>
    <n v="4052.3200000000006"/>
    <m/>
    <n v="0.10740601073313924"/>
  </r>
  <r>
    <x v="5"/>
    <n v="84"/>
    <x v="6"/>
    <x v="2"/>
    <n v="259683.51163423082"/>
    <n v="15025.643773058315"/>
    <n v="244657.8678611725"/>
    <n v="19468.699808981426"/>
    <n v="1346.8000000000004"/>
    <m/>
    <n v="5.7861370090459267E-2"/>
  </r>
  <r>
    <x v="5"/>
    <n v="94"/>
    <x v="0"/>
    <x v="2"/>
    <n v="7059.987760762443"/>
    <n v="116.7551984656529"/>
    <n v="6943.2325622967901"/>
    <n v="185.67303883039455"/>
    <n v="35.769999999999996"/>
    <m/>
    <n v="1.653759219166747E-2"/>
  </r>
  <r>
    <x v="5"/>
    <n v="515"/>
    <x v="5"/>
    <x v="2"/>
    <n v="436931.2838266177"/>
    <n v="39433.968278366199"/>
    <n v="397497.3155482515"/>
    <n v="45600.883424926287"/>
    <n v="1924.3100000000002"/>
    <m/>
    <n v="9.0252105395168536E-2"/>
  </r>
  <r>
    <x v="5"/>
    <n v="535"/>
    <x v="0"/>
    <x v="2"/>
    <n v="310775.60069994314"/>
    <n v="5810.0516619270466"/>
    <n v="304965.54903801612"/>
    <n v="6276.5785361045673"/>
    <n v="1583.3499999999997"/>
    <m/>
    <n v="1.8695327589557803E-2"/>
  </r>
  <r>
    <x v="5"/>
    <n v="612"/>
    <x v="5"/>
    <x v="2"/>
    <n v="278100.81122127653"/>
    <n v="22601.316582000418"/>
    <n v="255499.49463927612"/>
    <n v="26550.207273199885"/>
    <n v="1388.5200000000018"/>
    <m/>
    <n v="8.1270228888391208E-2"/>
  </r>
  <r>
    <x v="5"/>
    <n v="645"/>
    <x v="0"/>
    <x v="2"/>
    <n v="179585.51648403"/>
    <n v="13333.0592614334"/>
    <n v="166252.4572225966"/>
    <n v="15931.576555285083"/>
    <n v="1071.2199999999993"/>
    <m/>
    <n v="7.4243510960523756E-2"/>
  </r>
  <r>
    <x v="5"/>
    <n v="721"/>
    <x v="5"/>
    <x v="2"/>
    <n v="189248.65127072236"/>
    <n v="16873.911639067486"/>
    <n v="172374.73963165487"/>
    <n v="21002.836258311891"/>
    <n v="957"/>
    <m/>
    <n v="8.9162652022968247E-2"/>
  </r>
  <r>
    <x v="5"/>
    <n v="722"/>
    <x v="5"/>
    <x v="2"/>
    <n v="243184.53751003373"/>
    <n v="21984.59312537713"/>
    <n v="221199.94438465658"/>
    <n v="25544.04611305752"/>
    <n v="1261.5"/>
    <m/>
    <n v="9.0402923436158245E-2"/>
  </r>
  <r>
    <x v="5"/>
    <n v="723"/>
    <x v="5"/>
    <x v="2"/>
    <n v="92178.632563192135"/>
    <n v="9907.5961820573011"/>
    <n v="82271.036381134836"/>
    <n v="11476.460902902154"/>
    <n v="473.86000000000024"/>
    <m/>
    <n v="0.10748256842783221"/>
  </r>
  <r>
    <x v="5"/>
    <n v="724"/>
    <x v="5"/>
    <x v="2"/>
    <n v="283997.42741102085"/>
    <n v="46363.619071230503"/>
    <n v="237633.80833979035"/>
    <n v="49609.968872297657"/>
    <n v="1235.4400000000003"/>
    <m/>
    <n v="0.16325365864716038"/>
  </r>
  <r>
    <x v="5"/>
    <n v="921"/>
    <x v="8"/>
    <x v="2"/>
    <n v="1188012.7709953506"/>
    <n v="156754.95725462338"/>
    <n v="1031257.8137407271"/>
    <n v="178097"/>
    <n v="5336.5800000000072"/>
    <m/>
    <n v="0.13194719878582589"/>
  </r>
  <r>
    <x v="5"/>
    <n v="888"/>
    <x v="9"/>
    <x v="0"/>
    <n v="14663149.584095674"/>
    <n v="2380000.7303388626"/>
    <n v="12283148.853756811"/>
    <n v="712027.6"/>
    <n v="2636.4"/>
    <m/>
    <n v="0.16231169959012903"/>
  </r>
  <r>
    <x v="5"/>
    <n v="888"/>
    <x v="9"/>
    <x v="1"/>
    <n v="844680.00097318634"/>
    <n v="137101.44656774972"/>
    <n v="707578.55440543662"/>
    <n v="41016.800000000003"/>
    <n v="287.75"/>
    <m/>
    <n v="0.16231169959012903"/>
  </r>
  <r>
    <x v="5"/>
    <n v="888"/>
    <x v="9"/>
    <x v="2"/>
    <n v="706003.28493113932"/>
    <n v="114592.59309338736"/>
    <n v="591410.69183775201"/>
    <n v="34282.800000000003"/>
    <n v="266.93"/>
    <m/>
    <n v="0.16231169959012903"/>
  </r>
  <r>
    <x v="5"/>
    <s v="Blue Line"/>
    <x v="10"/>
    <x v="0"/>
    <n v="27155242.92455402"/>
    <n v="8826846.3091392312"/>
    <n v="18328396.615414791"/>
    <n v="8328955"/>
    <n v="37987.379999999997"/>
    <m/>
    <n v="0.32505127402700995"/>
  </r>
  <r>
    <x v="5"/>
    <s v="Green Line"/>
    <x v="10"/>
    <x v="0"/>
    <n v="26528309.07909501"/>
    <n v="11622083.508550052"/>
    <n v="14906225.570544958"/>
    <n v="10770751"/>
    <n v="46062.34"/>
    <m/>
    <n v="0.43810117990929742"/>
  </r>
  <r>
    <x v="5"/>
    <s v="Blue Line"/>
    <x v="10"/>
    <x v="1"/>
    <n v="5033693.1533778803"/>
    <n v="1545492.381489211"/>
    <n v="3488200.7718886696"/>
    <n v="1458316.6"/>
    <n v="7453.34"/>
    <m/>
    <n v="0.30702951777108267"/>
  </r>
  <r>
    <x v="5"/>
    <s v="Green Line"/>
    <x v="10"/>
    <x v="1"/>
    <n v="4684535.5463040872"/>
    <n v="1817329.2997799932"/>
    <n v="2867206.2465240937"/>
    <n v="1684207.6"/>
    <n v="8938.1"/>
    <m/>
    <n v="0.38794225848361724"/>
  </r>
  <r>
    <x v="5"/>
    <s v="Blue Line"/>
    <x v="10"/>
    <x v="2"/>
    <n v="4926987.1223446922"/>
    <n v="1454166.6167825595"/>
    <n v="3472820.5055621327"/>
    <n v="1372142.2"/>
    <n v="7764.88"/>
    <m/>
    <n v="0.29514317384506167"/>
  </r>
  <r>
    <x v="5"/>
    <s v="Green Line"/>
    <x v="10"/>
    <x v="2"/>
    <n v="4794911.7293242998"/>
    <n v="1447258.9742589551"/>
    <n v="3347652.7550653447"/>
    <n v="1341245.3999999999"/>
    <n v="9414.69"/>
    <m/>
    <n v="0.30183224550473697"/>
  </r>
  <r>
    <x v="4"/>
    <n v="903"/>
    <x v="11"/>
    <x v="1"/>
    <n v="330745"/>
    <n v="29050"/>
    <n v="301695"/>
    <n v="34013"/>
    <n v="1394.82"/>
    <m/>
    <n v="8.7832015601142871E-2"/>
  </r>
  <r>
    <x v="4"/>
    <n v="903"/>
    <x v="11"/>
    <x v="2"/>
    <n v="355246"/>
    <n v="25595"/>
    <n v="329651"/>
    <n v="29968"/>
    <n v="1498.14"/>
    <m/>
    <n v="7.2048664868851447E-2"/>
  </r>
  <r>
    <x v="4"/>
    <n v="903"/>
    <x v="11"/>
    <x v="0"/>
    <n v="2116595"/>
    <n v="162399"/>
    <n v="1954196"/>
    <n v="190144"/>
    <n v="9167.0400000000009"/>
    <m/>
    <n v="7.6726534835431431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7FE18B-41E4-41FB-9767-9E3AE3E494C5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N9" firstHeaderRow="1" firstDataRow="2" firstDataCol="1"/>
  <pivotFields count="9">
    <pivotField axis="axisRow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Col" showAll="0">
      <items count="13">
        <item x="8"/>
        <item x="0"/>
        <item x="9"/>
        <item x="1"/>
        <item x="7"/>
        <item x="3"/>
        <item x="2"/>
        <item x="11"/>
        <item x="10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In-Service Hours" fld="8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82E82-D1B2-4F31-A2AE-02CD0F488996}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7:E39" firstHeaderRow="0" firstDataRow="1" firstDataCol="1" rowPageCount="1" colPageCount="1"/>
  <pivotFields count="11">
    <pivotField axis="axisRow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Page" multipleItemSelectionAllowed="1" showAll="0">
      <items count="12">
        <item h="1" x="8"/>
        <item h="1" x="0"/>
        <item x="9"/>
        <item h="1" x="1"/>
        <item h="1" x="7"/>
        <item h="1" x="3"/>
        <item h="1" x="2"/>
        <item h="1" x="10"/>
        <item h="1" x="4"/>
        <item h="1" x="5"/>
        <item h="1" x="6"/>
        <item t="default"/>
      </items>
    </pivotField>
    <pivotField showAll="0"/>
    <pivotField dataField="1" showAll="0">
      <items count="352">
        <item x="44"/>
        <item x="50"/>
        <item x="74"/>
        <item x="332"/>
        <item x="291"/>
        <item x="129"/>
        <item x="123"/>
        <item x="119"/>
        <item x="125"/>
        <item x="91"/>
        <item x="127"/>
        <item x="96"/>
        <item x="94"/>
        <item x="100"/>
        <item x="47"/>
        <item x="87"/>
        <item x="207"/>
        <item x="202"/>
        <item x="121"/>
        <item x="95"/>
        <item x="131"/>
        <item x="30"/>
        <item x="76"/>
        <item x="136"/>
        <item x="88"/>
        <item x="287"/>
        <item x="80"/>
        <item x="18"/>
        <item x="38"/>
        <item x="98"/>
        <item x="20"/>
        <item x="328"/>
        <item x="180"/>
        <item x="99"/>
        <item x="97"/>
        <item x="56"/>
        <item x="92"/>
        <item x="298"/>
        <item x="339"/>
        <item x="46"/>
        <item x="86"/>
        <item x="36"/>
        <item x="90"/>
        <item x="78"/>
        <item x="83"/>
        <item x="63"/>
        <item x="234"/>
        <item x="93"/>
        <item x="82"/>
        <item x="181"/>
        <item x="75"/>
        <item x="122"/>
        <item x="120"/>
        <item x="64"/>
        <item x="15"/>
        <item x="84"/>
        <item x="79"/>
        <item x="128"/>
        <item x="126"/>
        <item x="60"/>
        <item x="177"/>
        <item x="29"/>
        <item x="190"/>
        <item x="110"/>
        <item x="329"/>
        <item x="276"/>
        <item x="244"/>
        <item x="182"/>
        <item x="85"/>
        <item x="296"/>
        <item x="197"/>
        <item x="105"/>
        <item x="336"/>
        <item x="111"/>
        <item x="77"/>
        <item x="300"/>
        <item x="219"/>
        <item x="124"/>
        <item x="153"/>
        <item x="337"/>
        <item x="217"/>
        <item x="81"/>
        <item x="130"/>
        <item x="58"/>
        <item x="10"/>
        <item x="132"/>
        <item x="114"/>
        <item x="103"/>
        <item x="225"/>
        <item x="71"/>
        <item x="115"/>
        <item x="295"/>
        <item x="104"/>
        <item x="159"/>
        <item x="102"/>
        <item x="19"/>
        <item x="192"/>
        <item x="338"/>
        <item x="14"/>
        <item x="297"/>
        <item x="0"/>
        <item x="118"/>
        <item x="21"/>
        <item x="331"/>
        <item x="65"/>
        <item x="208"/>
        <item x="335"/>
        <item x="251"/>
        <item x="299"/>
        <item x="340"/>
        <item x="229"/>
        <item x="280"/>
        <item x="24"/>
        <item x="223"/>
        <item x="72"/>
        <item x="293"/>
        <item x="31"/>
        <item x="134"/>
        <item x="49"/>
        <item x="73"/>
        <item x="232"/>
        <item x="48"/>
        <item x="240"/>
        <item x="109"/>
        <item x="334"/>
        <item x="246"/>
        <item x="22"/>
        <item x="45"/>
        <item x="247"/>
        <item x="290"/>
        <item x="112"/>
        <item x="277"/>
        <item x="319"/>
        <item x="39"/>
        <item x="320"/>
        <item x="27"/>
        <item x="62"/>
        <item x="312"/>
        <item x="269"/>
        <item x="294"/>
        <item x="195"/>
        <item x="278"/>
        <item x="233"/>
        <item x="249"/>
        <item x="245"/>
        <item x="218"/>
        <item x="288"/>
        <item x="201"/>
        <item x="116"/>
        <item x="326"/>
        <item x="333"/>
        <item x="186"/>
        <item x="284"/>
        <item x="227"/>
        <item x="325"/>
        <item x="318"/>
        <item x="23"/>
        <item x="243"/>
        <item x="34"/>
        <item x="204"/>
        <item x="33"/>
        <item x="220"/>
        <item x="113"/>
        <item x="322"/>
        <item x="185"/>
        <item x="178"/>
        <item x="285"/>
        <item x="41"/>
        <item x="28"/>
        <item x="12"/>
        <item x="193"/>
        <item x="275"/>
        <item x="67"/>
        <item x="26"/>
        <item x="292"/>
        <item x="25"/>
        <item x="327"/>
        <item x="117"/>
        <item x="212"/>
        <item x="215"/>
        <item x="183"/>
        <item x="226"/>
        <item x="241"/>
        <item x="135"/>
        <item x="106"/>
        <item x="9"/>
        <item x="213"/>
        <item x="191"/>
        <item x="264"/>
        <item x="179"/>
        <item x="310"/>
        <item x="4"/>
        <item x="214"/>
        <item x="230"/>
        <item x="281"/>
        <item x="5"/>
        <item x="265"/>
        <item x="198"/>
        <item x="303"/>
        <item x="344"/>
        <item x="307"/>
        <item x="61"/>
        <item x="324"/>
        <item x="242"/>
        <item x="308"/>
        <item x="321"/>
        <item x="313"/>
        <item x="133"/>
        <item x="6"/>
        <item x="330"/>
        <item x="228"/>
        <item x="231"/>
        <item x="52"/>
        <item x="200"/>
        <item x="286"/>
        <item x="108"/>
        <item x="51"/>
        <item x="89"/>
        <item x="216"/>
        <item x="343"/>
        <item x="161"/>
        <item x="187"/>
        <item x="302"/>
        <item x="184"/>
        <item x="35"/>
        <item x="270"/>
        <item x="7"/>
        <item x="315"/>
        <item x="257"/>
        <item x="259"/>
        <item x="317"/>
        <item x="272"/>
        <item x="2"/>
        <item x="289"/>
        <item x="66"/>
        <item x="283"/>
        <item x="311"/>
        <item x="163"/>
        <item x="11"/>
        <item x="256"/>
        <item x="206"/>
        <item x="255"/>
        <item x="70"/>
        <item x="188"/>
        <item x="194"/>
        <item x="268"/>
        <item x="252"/>
        <item x="267"/>
        <item x="260"/>
        <item x="282"/>
        <item x="55"/>
        <item x="304"/>
        <item x="309"/>
        <item x="279"/>
        <item x="16"/>
        <item x="323"/>
        <item x="101"/>
        <item x="17"/>
        <item x="107"/>
        <item x="69"/>
        <item x="13"/>
        <item x="221"/>
        <item x="237"/>
        <item x="40"/>
        <item x="137"/>
        <item x="239"/>
        <item x="274"/>
        <item x="199"/>
        <item x="301"/>
        <item x="54"/>
        <item x="341"/>
        <item x="205"/>
        <item x="261"/>
        <item x="222"/>
        <item x="236"/>
        <item x="235"/>
        <item x="306"/>
        <item x="266"/>
        <item x="263"/>
        <item x="203"/>
        <item x="43"/>
        <item x="314"/>
        <item x="174"/>
        <item x="248"/>
        <item x="250"/>
        <item x="316"/>
        <item x="271"/>
        <item x="305"/>
        <item x="209"/>
        <item x="32"/>
        <item x="68"/>
        <item x="8"/>
        <item x="171"/>
        <item x="273"/>
        <item x="149"/>
        <item x="147"/>
        <item x="262"/>
        <item x="254"/>
        <item x="196"/>
        <item x="157"/>
        <item x="158"/>
        <item x="175"/>
        <item x="3"/>
        <item x="1"/>
        <item x="168"/>
        <item x="253"/>
        <item x="42"/>
        <item x="238"/>
        <item x="176"/>
        <item x="189"/>
        <item x="156"/>
        <item x="160"/>
        <item x="37"/>
        <item x="169"/>
        <item x="210"/>
        <item x="143"/>
        <item x="224"/>
        <item x="172"/>
        <item x="211"/>
        <item x="164"/>
        <item x="165"/>
        <item x="144"/>
        <item x="348"/>
        <item x="170"/>
        <item x="350"/>
        <item x="349"/>
        <item x="347"/>
        <item x="166"/>
        <item x="173"/>
        <item x="146"/>
        <item x="258"/>
        <item x="138"/>
        <item x="167"/>
        <item x="162"/>
        <item x="150"/>
        <item x="152"/>
        <item x="148"/>
        <item x="57"/>
        <item x="155"/>
        <item x="145"/>
        <item x="139"/>
        <item x="140"/>
        <item x="151"/>
        <item x="142"/>
        <item x="154"/>
        <item x="141"/>
        <item x="342"/>
        <item x="346"/>
        <item x="345"/>
        <item x="53"/>
        <item x="59"/>
        <item t="default"/>
      </items>
    </pivotField>
    <pivotField dataField="1"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2"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Total Cost" fld="4" baseField="2" baseItem="4" numFmtId="44"/>
    <dataField name="Sum of Fare Revenue" fld="5" baseField="2" baseItem="4" numFmtId="44"/>
    <dataField name="Sum of Passenger Trips" fld="7" baseField="0" baseItem="0" numFmtId="43"/>
    <dataField name="Sum of In-Service Hours" fld="8" baseField="2" baseItem="4" numFmtId="43"/>
  </dataFields>
  <formats count="2"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BA674B-5572-45A4-B7F9-5573F5B6A2DE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5:E32" firstHeaderRow="0" firstDataRow="1" firstDataCol="1" rowPageCount="1" colPageCount="1"/>
  <pivotFields count="11">
    <pivotField axis="axisRow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Page" multipleItemSelectionAllowed="1" showAll="0">
      <items count="12">
        <item x="8"/>
        <item x="0"/>
        <item h="1" x="9"/>
        <item h="1" x="1"/>
        <item x="7"/>
        <item h="1" x="3"/>
        <item h="1" x="2"/>
        <item h="1" x="10"/>
        <item x="4"/>
        <item x="5"/>
        <item x="6"/>
        <item t="default"/>
      </items>
    </pivotField>
    <pivotField showAll="0"/>
    <pivotField dataField="1" showAll="0">
      <items count="352">
        <item x="44"/>
        <item x="50"/>
        <item x="74"/>
        <item x="332"/>
        <item x="291"/>
        <item x="129"/>
        <item x="123"/>
        <item x="119"/>
        <item x="125"/>
        <item x="91"/>
        <item x="127"/>
        <item x="96"/>
        <item x="94"/>
        <item x="100"/>
        <item x="47"/>
        <item x="87"/>
        <item x="207"/>
        <item x="202"/>
        <item x="121"/>
        <item x="95"/>
        <item x="131"/>
        <item x="30"/>
        <item x="76"/>
        <item x="136"/>
        <item x="88"/>
        <item x="287"/>
        <item x="80"/>
        <item x="18"/>
        <item x="38"/>
        <item x="98"/>
        <item x="20"/>
        <item x="328"/>
        <item x="180"/>
        <item x="99"/>
        <item x="97"/>
        <item x="56"/>
        <item x="92"/>
        <item x="298"/>
        <item x="339"/>
        <item x="46"/>
        <item x="86"/>
        <item x="36"/>
        <item x="90"/>
        <item x="78"/>
        <item x="83"/>
        <item x="63"/>
        <item x="234"/>
        <item x="93"/>
        <item x="82"/>
        <item x="181"/>
        <item x="75"/>
        <item x="122"/>
        <item x="120"/>
        <item x="64"/>
        <item x="15"/>
        <item x="84"/>
        <item x="79"/>
        <item x="128"/>
        <item x="126"/>
        <item x="60"/>
        <item x="177"/>
        <item x="29"/>
        <item x="190"/>
        <item x="110"/>
        <item x="329"/>
        <item x="276"/>
        <item x="244"/>
        <item x="182"/>
        <item x="85"/>
        <item x="296"/>
        <item x="197"/>
        <item x="105"/>
        <item x="336"/>
        <item x="111"/>
        <item x="77"/>
        <item x="300"/>
        <item x="219"/>
        <item x="124"/>
        <item x="153"/>
        <item x="337"/>
        <item x="217"/>
        <item x="81"/>
        <item x="130"/>
        <item x="58"/>
        <item x="10"/>
        <item x="132"/>
        <item x="114"/>
        <item x="103"/>
        <item x="225"/>
        <item x="71"/>
        <item x="115"/>
        <item x="295"/>
        <item x="104"/>
        <item x="159"/>
        <item x="102"/>
        <item x="19"/>
        <item x="192"/>
        <item x="338"/>
        <item x="14"/>
        <item x="297"/>
        <item x="0"/>
        <item x="118"/>
        <item x="21"/>
        <item x="331"/>
        <item x="65"/>
        <item x="208"/>
        <item x="335"/>
        <item x="251"/>
        <item x="299"/>
        <item x="340"/>
        <item x="229"/>
        <item x="280"/>
        <item x="24"/>
        <item x="223"/>
        <item x="72"/>
        <item x="293"/>
        <item x="31"/>
        <item x="134"/>
        <item x="49"/>
        <item x="73"/>
        <item x="232"/>
        <item x="48"/>
        <item x="240"/>
        <item x="109"/>
        <item x="334"/>
        <item x="246"/>
        <item x="22"/>
        <item x="45"/>
        <item x="247"/>
        <item x="290"/>
        <item x="112"/>
        <item x="277"/>
        <item x="319"/>
        <item x="39"/>
        <item x="320"/>
        <item x="27"/>
        <item x="62"/>
        <item x="312"/>
        <item x="269"/>
        <item x="294"/>
        <item x="195"/>
        <item x="278"/>
        <item x="233"/>
        <item x="249"/>
        <item x="245"/>
        <item x="218"/>
        <item x="288"/>
        <item x="201"/>
        <item x="116"/>
        <item x="326"/>
        <item x="333"/>
        <item x="186"/>
        <item x="284"/>
        <item x="227"/>
        <item x="325"/>
        <item x="318"/>
        <item x="23"/>
        <item x="243"/>
        <item x="34"/>
        <item x="204"/>
        <item x="33"/>
        <item x="220"/>
        <item x="113"/>
        <item x="322"/>
        <item x="185"/>
        <item x="178"/>
        <item x="285"/>
        <item x="41"/>
        <item x="28"/>
        <item x="12"/>
        <item x="193"/>
        <item x="275"/>
        <item x="67"/>
        <item x="26"/>
        <item x="292"/>
        <item x="25"/>
        <item x="327"/>
        <item x="117"/>
        <item x="212"/>
        <item x="215"/>
        <item x="183"/>
        <item x="226"/>
        <item x="241"/>
        <item x="135"/>
        <item x="106"/>
        <item x="9"/>
        <item x="213"/>
        <item x="191"/>
        <item x="264"/>
        <item x="179"/>
        <item x="310"/>
        <item x="4"/>
        <item x="214"/>
        <item x="230"/>
        <item x="281"/>
        <item x="5"/>
        <item x="265"/>
        <item x="198"/>
        <item x="303"/>
        <item x="344"/>
        <item x="307"/>
        <item x="61"/>
        <item x="324"/>
        <item x="242"/>
        <item x="308"/>
        <item x="321"/>
        <item x="313"/>
        <item x="133"/>
        <item x="6"/>
        <item x="330"/>
        <item x="228"/>
        <item x="231"/>
        <item x="52"/>
        <item x="200"/>
        <item x="286"/>
        <item x="108"/>
        <item x="51"/>
        <item x="89"/>
        <item x="216"/>
        <item x="343"/>
        <item x="161"/>
        <item x="187"/>
        <item x="302"/>
        <item x="184"/>
        <item x="35"/>
        <item x="270"/>
        <item x="7"/>
        <item x="315"/>
        <item x="257"/>
        <item x="259"/>
        <item x="317"/>
        <item x="272"/>
        <item x="2"/>
        <item x="289"/>
        <item x="66"/>
        <item x="283"/>
        <item x="311"/>
        <item x="163"/>
        <item x="11"/>
        <item x="256"/>
        <item x="206"/>
        <item x="255"/>
        <item x="70"/>
        <item x="188"/>
        <item x="194"/>
        <item x="268"/>
        <item x="252"/>
        <item x="267"/>
        <item x="260"/>
        <item x="282"/>
        <item x="55"/>
        <item x="304"/>
        <item x="309"/>
        <item x="279"/>
        <item x="16"/>
        <item x="323"/>
        <item x="101"/>
        <item x="17"/>
        <item x="107"/>
        <item x="69"/>
        <item x="13"/>
        <item x="221"/>
        <item x="237"/>
        <item x="40"/>
        <item x="137"/>
        <item x="239"/>
        <item x="274"/>
        <item x="199"/>
        <item x="301"/>
        <item x="54"/>
        <item x="341"/>
        <item x="205"/>
        <item x="261"/>
        <item x="222"/>
        <item x="236"/>
        <item x="235"/>
        <item x="306"/>
        <item x="266"/>
        <item x="263"/>
        <item x="203"/>
        <item x="43"/>
        <item x="314"/>
        <item x="174"/>
        <item x="248"/>
        <item x="250"/>
        <item x="316"/>
        <item x="271"/>
        <item x="305"/>
        <item x="209"/>
        <item x="32"/>
        <item x="68"/>
        <item x="8"/>
        <item x="171"/>
        <item x="273"/>
        <item x="149"/>
        <item x="147"/>
        <item x="262"/>
        <item x="254"/>
        <item x="196"/>
        <item x="157"/>
        <item x="158"/>
        <item x="175"/>
        <item x="3"/>
        <item x="1"/>
        <item x="168"/>
        <item x="253"/>
        <item x="42"/>
        <item x="238"/>
        <item x="176"/>
        <item x="189"/>
        <item x="156"/>
        <item x="160"/>
        <item x="37"/>
        <item x="169"/>
        <item x="210"/>
        <item x="143"/>
        <item x="224"/>
        <item x="172"/>
        <item x="211"/>
        <item x="164"/>
        <item x="165"/>
        <item x="144"/>
        <item x="348"/>
        <item x="170"/>
        <item x="350"/>
        <item x="349"/>
        <item x="347"/>
        <item x="166"/>
        <item x="173"/>
        <item x="146"/>
        <item x="258"/>
        <item x="138"/>
        <item x="167"/>
        <item x="162"/>
        <item x="150"/>
        <item x="152"/>
        <item x="148"/>
        <item x="57"/>
        <item x="155"/>
        <item x="145"/>
        <item x="139"/>
        <item x="140"/>
        <item x="151"/>
        <item x="142"/>
        <item x="154"/>
        <item x="141"/>
        <item x="342"/>
        <item x="346"/>
        <item x="345"/>
        <item x="53"/>
        <item x="59"/>
        <item t="default"/>
      </items>
    </pivotField>
    <pivotField dataField="1"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Total Cost" fld="4" baseField="2" baseItem="4" numFmtId="44"/>
    <dataField name="Sum of Fare Revenue" fld="5" baseField="2" baseItem="4" numFmtId="44"/>
    <dataField name="Sum of Passenger Trips" fld="7" baseField="0" baseItem="0" numFmtId="43"/>
    <dataField name="Sum of In-Service Hours" fld="8" baseField="2" baseItem="4" numFmtId="43"/>
  </dataFields>
  <formats count="2">
    <format dxfId="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E0C8E5-695F-494E-9556-2C3E24665578}" name="PivotTable5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3:E46" firstHeaderRow="0" firstDataRow="1" firstDataCol="1" rowPageCount="1" colPageCount="1"/>
  <pivotFields count="9">
    <pivotField axis="axisPage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Row" showAll="0">
      <items count="13">
        <item h="1" x="8"/>
        <item h="1" x="0"/>
        <item x="9"/>
        <item h="1" x="1"/>
        <item h="1" x="7"/>
        <item h="1" x="3"/>
        <item h="1" x="2"/>
        <item h="1" x="11"/>
        <item x="10"/>
        <item h="1" x="4"/>
        <item h="1" x="5"/>
        <item h="1" x="6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</pivotFields>
  <rowFields count="1">
    <field x="2"/>
  </rowFields>
  <rowItems count="3">
    <i>
      <x v="2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1" hier="-1"/>
  </pageFields>
  <dataFields count="4">
    <dataField name="Sum of Total Cost" fld="4" baseField="2" baseItem="2"/>
    <dataField name="Sum of Fare Revenue" fld="5" baseField="2" baseItem="2"/>
    <dataField name="Sum of Passenger Trips" fld="7" baseField="0" baseItem="0"/>
    <dataField name="Sum of In-Service Hours" fld="8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F8FB0B-EBA6-4F8F-BAA9-C6FAED198127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8:H32" firstHeaderRow="1" firstDataRow="2" firstDataCol="1"/>
  <pivotFields count="11">
    <pivotField showAll="0"/>
    <pivotField showAll="0"/>
    <pivotField axis="axisRow" showAll="0">
      <items count="13">
        <item x="8"/>
        <item x="0"/>
        <item x="9"/>
        <item x="1"/>
        <item x="7"/>
        <item x="3"/>
        <item x="2"/>
        <item x="11"/>
        <item x="10"/>
        <item x="4"/>
        <item x="5"/>
        <item x="6"/>
        <item t="default"/>
      </items>
    </pivotField>
    <pivotField axis="axisCol" showAll="0">
      <items count="7">
        <item x="2"/>
        <item x="1"/>
        <item x="3"/>
        <item x="4"/>
        <item x="5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assenger Trip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952809-D912-42C1-ADDE-CC18FD7F6199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H15" firstHeaderRow="1" firstDataRow="2" firstDataCol="1"/>
  <pivotFields count="11">
    <pivotField showAll="0"/>
    <pivotField showAll="0"/>
    <pivotField axis="axisRow" showAll="0">
      <items count="13">
        <item x="8"/>
        <item x="0"/>
        <item x="9"/>
        <item x="1"/>
        <item x="7"/>
        <item x="3"/>
        <item x="2"/>
        <item x="11"/>
        <item x="10"/>
        <item x="4"/>
        <item x="5"/>
        <item x="6"/>
        <item t="default"/>
      </items>
    </pivotField>
    <pivotField axis="axisCol" showAll="0">
      <items count="7">
        <item x="2"/>
        <item x="1"/>
        <item x="3"/>
        <item x="4"/>
        <item x="5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Total Subsid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2C4CE3-42EC-46BF-BC78-E3C3FA72950E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5:E20" firstHeaderRow="0" firstDataRow="1" firstDataCol="1" rowPageCount="1" colPageCount="1"/>
  <pivotFields count="11">
    <pivotField axis="axisRow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Page" multipleItemSelectionAllowed="1" showAll="0">
      <items count="13">
        <item h="1" x="8"/>
        <item h="1" x="0"/>
        <item h="1" x="9"/>
        <item h="1" x="1"/>
        <item h="1" x="7"/>
        <item h="1" x="3"/>
        <item x="2"/>
        <item h="1" x="11"/>
        <item h="1" x="10"/>
        <item h="1" x="4"/>
        <item h="1" x="5"/>
        <item h="1" x="6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5">
    <i>
      <x/>
    </i>
    <i>
      <x v="2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Total Cost" fld="4" baseField="0" baseItem="0"/>
    <dataField name="Sum of Fare Revenue" fld="5" baseField="0" baseItem="0"/>
    <dataField name="Sum of Passenger Trips" fld="7" baseField="0" baseItem="0"/>
    <dataField name="Sum of In-Service Hour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7FCCB6-23AA-4F27-A48F-9E82D1918FBC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E11" firstHeaderRow="0" firstDataRow="1" firstDataCol="1" rowPageCount="1" colPageCount="1"/>
  <pivotFields count="9">
    <pivotField axis="axisRow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Page" multipleItemSelectionAllowed="1" showAll="0">
      <items count="13">
        <item x="8"/>
        <item x="0"/>
        <item h="1" x="9"/>
        <item h="1" x="1"/>
        <item x="7"/>
        <item h="1" x="3"/>
        <item h="1" x="2"/>
        <item x="11"/>
        <item h="1" x="10"/>
        <item x="4"/>
        <item x="5"/>
        <item x="6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>
      <items count="354">
        <item x="331"/>
        <item x="44"/>
        <item x="73"/>
        <item x="50"/>
        <item x="290"/>
        <item x="128"/>
        <item x="122"/>
        <item x="118"/>
        <item x="124"/>
        <item x="201"/>
        <item x="86"/>
        <item x="18"/>
        <item x="343"/>
        <item x="206"/>
        <item x="38"/>
        <item x="20"/>
        <item x="342"/>
        <item x="90"/>
        <item x="179"/>
        <item x="181"/>
        <item x="286"/>
        <item x="59"/>
        <item x="126"/>
        <item x="327"/>
        <item x="233"/>
        <item x="297"/>
        <item x="152"/>
        <item x="338"/>
        <item x="36"/>
        <item x="87"/>
        <item x="180"/>
        <item x="189"/>
        <item x="176"/>
        <item x="216"/>
        <item x="30"/>
        <item x="243"/>
        <item x="75"/>
        <item x="93"/>
        <item x="95"/>
        <item x="47"/>
        <item x="99"/>
        <item x="79"/>
        <item x="196"/>
        <item x="130"/>
        <item x="135"/>
        <item x="158"/>
        <item x="120"/>
        <item x="85"/>
        <item x="328"/>
        <item x="218"/>
        <item x="63"/>
        <item x="77"/>
        <item x="295"/>
        <item x="82"/>
        <item x="275"/>
        <item x="81"/>
        <item x="224"/>
        <item x="15"/>
        <item x="336"/>
        <item x="74"/>
        <item x="96"/>
        <item x="29"/>
        <item x="97"/>
        <item x="299"/>
        <item x="191"/>
        <item x="78"/>
        <item x="335"/>
        <item x="83"/>
        <item x="94"/>
        <item x="10"/>
        <item x="84"/>
        <item x="98"/>
        <item x="62"/>
        <item x="250"/>
        <item x="46"/>
        <item x="91"/>
        <item x="246"/>
        <item x="64"/>
        <item x="296"/>
        <item x="39"/>
        <item x="339"/>
        <item x="298"/>
        <item x="337"/>
        <item x="70"/>
        <item x="222"/>
        <item x="76"/>
        <item x="207"/>
        <item x="294"/>
        <item x="89"/>
        <item x="228"/>
        <item x="330"/>
        <item x="239"/>
        <item x="231"/>
        <item x="334"/>
        <item x="80"/>
        <item x="350"/>
        <item x="245"/>
        <item x="19"/>
        <item x="92"/>
        <item x="45"/>
        <item x="351"/>
        <item x="104"/>
        <item x="292"/>
        <item x="21"/>
        <item x="279"/>
        <item x="31"/>
        <item x="14"/>
        <item x="333"/>
        <item x="248"/>
        <item x="203"/>
        <item x="119"/>
        <item x="289"/>
        <item x="0"/>
        <item x="192"/>
        <item x="232"/>
        <item x="41"/>
        <item x="184"/>
        <item x="109"/>
        <item x="318"/>
        <item x="276"/>
        <item x="125"/>
        <item x="217"/>
        <item x="200"/>
        <item x="226"/>
        <item x="177"/>
        <item x="49"/>
        <item x="48"/>
        <item x="194"/>
        <item x="319"/>
        <item x="121"/>
        <item x="332"/>
        <item x="268"/>
        <item x="178"/>
        <item x="244"/>
        <item x="242"/>
        <item x="311"/>
        <item x="293"/>
        <item x="127"/>
        <item x="283"/>
        <item x="22"/>
        <item x="24"/>
        <item x="287"/>
        <item x="123"/>
        <item x="182"/>
        <item x="324"/>
        <item x="211"/>
        <item x="325"/>
        <item x="219"/>
        <item x="277"/>
        <item x="190"/>
        <item x="34"/>
        <item x="185"/>
        <item x="102"/>
        <item x="225"/>
        <item x="129"/>
        <item x="317"/>
        <item x="56"/>
        <item x="240"/>
        <item x="214"/>
        <item x="60"/>
        <item x="103"/>
        <item x="33"/>
        <item x="321"/>
        <item x="110"/>
        <item x="212"/>
        <item x="284"/>
        <item x="291"/>
        <item x="27"/>
        <item x="12"/>
        <item x="117"/>
        <item x="341"/>
        <item x="101"/>
        <item x="274"/>
        <item x="23"/>
        <item x="197"/>
        <item x="131"/>
        <item x="230"/>
        <item x="113"/>
        <item x="72"/>
        <item x="71"/>
        <item x="326"/>
        <item x="213"/>
        <item x="227"/>
        <item x="229"/>
        <item x="256"/>
        <item x="241"/>
        <item x="186"/>
        <item x="205"/>
        <item x="9"/>
        <item x="183"/>
        <item x="114"/>
        <item x="4"/>
        <item x="133"/>
        <item x="215"/>
        <item x="26"/>
        <item x="40"/>
        <item x="255"/>
        <item x="263"/>
        <item x="309"/>
        <item x="61"/>
        <item x="280"/>
        <item x="5"/>
        <item x="28"/>
        <item x="193"/>
        <item x="254"/>
        <item x="264"/>
        <item x="302"/>
        <item x="88"/>
        <item x="320"/>
        <item x="323"/>
        <item x="35"/>
        <item x="108"/>
        <item x="307"/>
        <item x="25"/>
        <item x="306"/>
        <item x="329"/>
        <item x="312"/>
        <item x="160"/>
        <item x="199"/>
        <item x="204"/>
        <item x="6"/>
        <item x="162"/>
        <item x="198"/>
        <item x="187"/>
        <item x="220"/>
        <item x="115"/>
        <item x="314"/>
        <item x="271"/>
        <item x="301"/>
        <item x="285"/>
        <item x="251"/>
        <item x="2"/>
        <item x="269"/>
        <item x="43"/>
        <item x="11"/>
        <item x="7"/>
        <item x="258"/>
        <item x="310"/>
        <item x="308"/>
        <item x="282"/>
        <item x="300"/>
        <item x="316"/>
        <item x="16"/>
        <item x="340"/>
        <item x="259"/>
        <item x="202"/>
        <item x="288"/>
        <item x="303"/>
        <item x="111"/>
        <item x="249"/>
        <item x="236"/>
        <item x="278"/>
        <item x="267"/>
        <item x="238"/>
        <item x="266"/>
        <item x="281"/>
        <item x="112"/>
        <item x="322"/>
        <item x="208"/>
        <item x="66"/>
        <item x="116"/>
        <item x="13"/>
        <item x="273"/>
        <item x="247"/>
        <item x="235"/>
        <item x="17"/>
        <item x="221"/>
        <item x="65"/>
        <item x="260"/>
        <item x="305"/>
        <item x="234"/>
        <item x="69"/>
        <item x="265"/>
        <item x="262"/>
        <item x="346"/>
        <item x="195"/>
        <item x="105"/>
        <item x="313"/>
        <item x="348"/>
        <item x="173"/>
        <item x="32"/>
        <item x="315"/>
        <item x="68"/>
        <item x="8"/>
        <item x="347"/>
        <item x="270"/>
        <item x="352"/>
        <item x="252"/>
        <item x="349"/>
        <item x="54"/>
        <item x="134"/>
        <item x="1"/>
        <item x="170"/>
        <item x="132"/>
        <item x="304"/>
        <item x="42"/>
        <item x="188"/>
        <item x="146"/>
        <item x="157"/>
        <item x="174"/>
        <item x="148"/>
        <item x="272"/>
        <item x="253"/>
        <item x="52"/>
        <item x="107"/>
        <item x="261"/>
        <item x="156"/>
        <item x="3"/>
        <item x="167"/>
        <item x="37"/>
        <item x="175"/>
        <item x="237"/>
        <item x="136"/>
        <item x="106"/>
        <item x="100"/>
        <item x="67"/>
        <item x="155"/>
        <item x="159"/>
        <item x="168"/>
        <item x="209"/>
        <item x="223"/>
        <item x="171"/>
        <item x="210"/>
        <item x="142"/>
        <item x="163"/>
        <item x="164"/>
        <item x="143"/>
        <item x="169"/>
        <item x="55"/>
        <item x="257"/>
        <item x="172"/>
        <item x="51"/>
        <item x="165"/>
        <item x="166"/>
        <item x="145"/>
        <item x="149"/>
        <item x="161"/>
        <item x="137"/>
        <item x="151"/>
        <item x="344"/>
        <item x="147"/>
        <item x="154"/>
        <item x="138"/>
        <item x="139"/>
        <item x="345"/>
        <item x="144"/>
        <item x="150"/>
        <item x="141"/>
        <item x="153"/>
        <item x="140"/>
        <item x="57"/>
        <item x="53"/>
        <item x="58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Total Cost" fld="4" baseField="0" baseItem="1"/>
    <dataField name="Sum of Fare Revenue" fld="5" baseField="0" baseItem="1"/>
    <dataField name="Sum of Passenger Trips" fld="7" baseField="0" baseItem="0"/>
    <dataField name="Sum of In-Service Hour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1F6002-82F4-46C5-A9DD-5647C4366CE5}" name="PivotTable6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8:E41" firstHeaderRow="0" firstDataRow="1" firstDataCol="1" rowPageCount="1" colPageCount="1"/>
  <pivotFields count="9">
    <pivotField axis="axisPage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Row" showAll="0">
      <items count="13">
        <item h="1" x="8"/>
        <item h="1" x="0"/>
        <item x="9"/>
        <item h="1" x="1"/>
        <item h="1" x="7"/>
        <item h="1" x="3"/>
        <item h="1" x="2"/>
        <item h="1" x="11"/>
        <item x="10"/>
        <item h="1" x="4"/>
        <item h="1" x="5"/>
        <item h="1" x="6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</pivotFields>
  <rowFields count="1">
    <field x="2"/>
  </rowFields>
  <rowItems count="3">
    <i>
      <x v="2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1" hier="-1"/>
  </pageFields>
  <dataFields count="4">
    <dataField name="Sum of Total Cost" fld="4" baseField="2" baseItem="2"/>
    <dataField name="Sum of Fare Revenue" fld="5" baseField="2" baseItem="2"/>
    <dataField name="Sum of Passenger Trips" fld="7" baseField="0" baseItem="0"/>
    <dataField name="Sum of In-Service Hours" fld="8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CACE4-66EB-472D-959A-FA74E467079E}" name="PivotTable4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4:E32" firstHeaderRow="0" firstDataRow="1" firstDataCol="1" rowPageCount="1" colPageCount="1"/>
  <pivotFields count="9">
    <pivotField axis="axisPage" showAll="0">
      <items count="7">
        <item x="2"/>
        <item x="5"/>
        <item x="4"/>
        <item x="0"/>
        <item x="1"/>
        <item x="3"/>
        <item t="default"/>
      </items>
    </pivotField>
    <pivotField showAll="0"/>
    <pivotField axis="axisRow" showAll="0">
      <items count="13">
        <item x="8"/>
        <item x="0"/>
        <item x="9"/>
        <item x="1"/>
        <item x="7"/>
        <item x="3"/>
        <item x="2"/>
        <item x="11"/>
        <item x="10"/>
        <item x="4"/>
        <item x="5"/>
        <item x="6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</pivotFields>
  <rowFields count="1">
    <field x="2"/>
  </rowFields>
  <rowItems count="8">
    <i>
      <x v="1"/>
    </i>
    <i>
      <x v="3"/>
    </i>
    <i>
      <x v="5"/>
    </i>
    <i>
      <x v="6"/>
    </i>
    <i>
      <x v="7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2" hier="-1"/>
  </pageFields>
  <dataFields count="4">
    <dataField name="Sum of Total Cost" fld="4" baseField="2" baseItem="0"/>
    <dataField name="Sum of Fare Revenue" fld="5" baseField="2" baseItem="0"/>
    <dataField name="Sum of Passenger Trips" fld="7" baseField="0" baseItem="0"/>
    <dataField name="Sum of In-Service Hours" fld="8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1A0F89-E5A1-4A70-89DB-4FDC67C4DB3F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4:E21" firstHeaderRow="0" firstDataRow="1" firstDataCol="1" rowPageCount="1" colPageCount="1"/>
  <pivotFields count="11">
    <pivotField axis="axisPage" showAll="0">
      <items count="6">
        <item x="2"/>
        <item x="4"/>
        <item x="0"/>
        <item x="1"/>
        <item x="3"/>
        <item t="default"/>
      </items>
    </pivotField>
    <pivotField showAll="0"/>
    <pivotField axis="axisRow" showAll="0">
      <items count="8">
        <item x="0"/>
        <item x="6"/>
        <item x="4"/>
        <item x="3"/>
        <item x="2"/>
        <item x="1"/>
        <item x="5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1" hier="-1"/>
  </pageFields>
  <dataFields count="4">
    <dataField name="Sum of Total Cost" fld="4" baseField="2" baseItem="1"/>
    <dataField name="Sum of Fare Revenue" fld="5" baseField="2" baseItem="1"/>
    <dataField name="Sum of Passenger Trips" fld="7" baseField="0" baseItem="0"/>
    <dataField name="Sum of In-Service Hours" fld="8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9BA35C-B7B5-4D89-8F46-BA347458310A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9" firstHeaderRow="0" firstDataRow="1" firstDataCol="1" rowPageCount="1" colPageCount="1"/>
  <pivotFields count="11">
    <pivotField axis="axisRow" showAll="0">
      <items count="6">
        <item x="2"/>
        <item x="4"/>
        <item x="0"/>
        <item x="1"/>
        <item x="3"/>
        <item t="default"/>
      </items>
    </pivotField>
    <pivotField showAll="0"/>
    <pivotField axis="axisPage" multipleItemSelectionAllowed="1" showAll="0">
      <items count="8">
        <item x="0"/>
        <item h="1" x="3"/>
        <item h="1" x="2"/>
        <item x="4"/>
        <item x="5"/>
        <item x="6"/>
        <item h="1" x="1"/>
        <item t="default"/>
      </items>
    </pivotField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-1"/>
  </pageFields>
  <dataFields count="4">
    <dataField name="Sum of Total Cost" fld="4" baseField="0" baseItem="0"/>
    <dataField name="Sum of Fare Revenue" fld="5" baseField="0" baseItem="0"/>
    <dataField name="Sum of Passenger Trips" fld="7" baseField="0" baseItem="0"/>
    <dataField name="Sum of In-Service Hour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6" dT="2019-10-15T16:11:52.70" personId="{A335CA1B-7C50-4210-B1F9-4CC31404DEF0}" id="{A8061508-FC0B-4545-A26E-15A952D5BEBA}">
    <text>Revenue reduced to account for fare generated by feeder route 771</text>
  </threadedComment>
  <threadedComment ref="F36" dT="2019-10-15T16:08:24.60" personId="{A335CA1B-7C50-4210-B1F9-4CC31404DEF0}" id="{A491FDEB-D921-47A0-84B0-8469A6DE248A}">
    <text>Revenue reduced to account for revenue occuring on feeder rotue 788</text>
  </threadedComment>
  <threadedComment ref="F88" dT="2019-10-15T16:11:11.48" personId="{A335CA1B-7C50-4210-B1F9-4CC31404DEF0}" id="{4A45A4A0-5992-438E-9409-8A4FD1FCC893}">
    <text>Feeder for route 772, fare based on half ridership x 3.25 fare</text>
  </threadedComment>
  <threadedComment ref="F91" dT="2019-10-15T16:07:34.71" personId="{A335CA1B-7C50-4210-B1F9-4CC31404DEF0}" id="{4B3612E9-5148-4D5E-8E8A-18C5E1B83A82}">
    <text>Feeder for Route 783, based on ridership x local fare x 0.5 to account for one way fare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0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5" Type="http://schemas.openxmlformats.org/officeDocument/2006/relationships/pivotTable" Target="../pivotTables/pivotTable12.xml"/><Relationship Id="rId4" Type="http://schemas.openxmlformats.org/officeDocument/2006/relationships/pivotTable" Target="../pivotTables/pivotTable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44"/>
  <sheetViews>
    <sheetView workbookViewId="0">
      <pane ySplit="3" topLeftCell="A19" activePane="bottomLeft" state="frozen"/>
      <selection activeCell="M4" sqref="M4:M132"/>
      <selection pane="bottomLeft" activeCell="A2" sqref="A2:N2"/>
    </sheetView>
  </sheetViews>
  <sheetFormatPr defaultRowHeight="15" x14ac:dyDescent="0.25"/>
  <cols>
    <col min="1" max="1" width="29.7109375" bestFit="1" customWidth="1"/>
    <col min="2" max="2" width="14.28515625" style="12" customWidth="1"/>
    <col min="3" max="3" width="24.85546875" bestFit="1" customWidth="1"/>
    <col min="4" max="4" width="14.28515625" bestFit="1" customWidth="1"/>
    <col min="5" max="5" width="14.42578125" bestFit="1" customWidth="1"/>
    <col min="6" max="6" width="16" style="10" bestFit="1" customWidth="1"/>
    <col min="7" max="7" width="14.28515625" bestFit="1" customWidth="1"/>
    <col min="8" max="8" width="16.28515625" bestFit="1" customWidth="1"/>
    <col min="9" max="9" width="15.140625" customWidth="1"/>
    <col min="10" max="10" width="13.5703125" style="13" customWidth="1"/>
    <col min="11" max="11" width="9.140625" style="41"/>
    <col min="12" max="12" width="10.85546875" style="41" bestFit="1" customWidth="1"/>
    <col min="13" max="13" width="76.28515625" style="13" bestFit="1" customWidth="1"/>
    <col min="17" max="18" width="12.7109375" bestFit="1" customWidth="1"/>
  </cols>
  <sheetData>
    <row r="1" spans="1:14" ht="18.75" x14ac:dyDescent="0.3">
      <c r="A1" s="16" t="s">
        <v>25</v>
      </c>
      <c r="B1"/>
      <c r="F1"/>
      <c r="J1"/>
      <c r="K1" s="165"/>
      <c r="L1" s="165"/>
      <c r="M1" s="141"/>
    </row>
    <row r="2" spans="1:14" ht="47.25" thickBot="1" x14ac:dyDescent="0.75">
      <c r="A2" s="273" t="s">
        <v>97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84.75" thickBot="1" x14ac:dyDescent="0.3">
      <c r="A3" s="321" t="s">
        <v>10</v>
      </c>
      <c r="B3" s="322" t="s">
        <v>26</v>
      </c>
      <c r="C3" s="323" t="s">
        <v>27</v>
      </c>
      <c r="D3" s="323" t="s">
        <v>1</v>
      </c>
      <c r="E3" s="324" t="s">
        <v>2</v>
      </c>
      <c r="F3" s="324" t="s">
        <v>28</v>
      </c>
      <c r="G3" s="324" t="s">
        <v>29</v>
      </c>
      <c r="H3" s="325" t="s">
        <v>30</v>
      </c>
      <c r="I3" s="325" t="s">
        <v>35</v>
      </c>
      <c r="J3" s="326" t="s">
        <v>32</v>
      </c>
      <c r="K3" s="327" t="s">
        <v>33</v>
      </c>
      <c r="L3" s="328" t="s">
        <v>44</v>
      </c>
      <c r="M3" s="24" t="s">
        <v>34</v>
      </c>
    </row>
    <row r="4" spans="1:14" ht="15.75" x14ac:dyDescent="0.25">
      <c r="A4" s="137" t="s">
        <v>16</v>
      </c>
      <c r="B4" s="236">
        <v>416</v>
      </c>
      <c r="C4" s="137" t="s">
        <v>12</v>
      </c>
      <c r="D4" s="137" t="s">
        <v>7</v>
      </c>
      <c r="E4" s="237">
        <v>250764.65768326345</v>
      </c>
      <c r="F4" s="237">
        <v>5351.9923228285734</v>
      </c>
      <c r="G4" s="194">
        <f>+E4-F4</f>
        <v>245412.66536043488</v>
      </c>
      <c r="H4" s="138">
        <v>6818</v>
      </c>
      <c r="I4" s="235">
        <v>1665.0000000000007</v>
      </c>
      <c r="J4" s="29">
        <f t="shared" ref="J4:J35" si="0">+G4/H4</f>
        <v>35.994817447995729</v>
      </c>
      <c r="K4" s="55">
        <f t="shared" ref="K4:K35" si="1">+IF(D4="Weekday",J4/$J$135,J4/$J$136)</f>
        <v>4.978536299861096</v>
      </c>
      <c r="L4" s="91">
        <f t="shared" ref="L4:L35" si="2">+H4/I4</f>
        <v>4.0948948948948933</v>
      </c>
      <c r="M4" s="315" t="s">
        <v>149</v>
      </c>
    </row>
    <row r="5" spans="1:14" ht="15.75" x14ac:dyDescent="0.25">
      <c r="A5" s="137" t="s">
        <v>16</v>
      </c>
      <c r="B5" s="236">
        <v>460</v>
      </c>
      <c r="C5" s="137" t="s">
        <v>12</v>
      </c>
      <c r="D5" s="137" t="s">
        <v>7</v>
      </c>
      <c r="E5" s="237">
        <v>2245372.829993635</v>
      </c>
      <c r="F5" s="237">
        <v>1034817.5589223363</v>
      </c>
      <c r="G5" s="140">
        <f t="shared" ref="G5:G54" si="3">+E5-F5</f>
        <v>1210555.2710712985</v>
      </c>
      <c r="H5" s="138">
        <v>395097</v>
      </c>
      <c r="I5" s="235">
        <v>9565.0190000000039</v>
      </c>
      <c r="J5" s="34">
        <f t="shared" si="0"/>
        <v>3.0639444771063777</v>
      </c>
      <c r="K5" s="55">
        <f t="shared" si="1"/>
        <v>0.4237820853535792</v>
      </c>
      <c r="L5" s="91">
        <f t="shared" si="2"/>
        <v>41.306452187915134</v>
      </c>
      <c r="M5" s="315" t="s">
        <v>112</v>
      </c>
    </row>
    <row r="6" spans="1:14" ht="15.75" x14ac:dyDescent="0.25">
      <c r="A6" s="137" t="s">
        <v>16</v>
      </c>
      <c r="B6" s="236">
        <v>464</v>
      </c>
      <c r="C6" s="137" t="s">
        <v>12</v>
      </c>
      <c r="D6" s="137" t="s">
        <v>7</v>
      </c>
      <c r="E6" s="237">
        <v>919709.48971065914</v>
      </c>
      <c r="F6" s="237">
        <v>141772.63268813721</v>
      </c>
      <c r="G6" s="140">
        <f t="shared" si="3"/>
        <v>777936.8570225219</v>
      </c>
      <c r="H6" s="138">
        <v>54608</v>
      </c>
      <c r="I6" s="235">
        <v>4819.6499999999996</v>
      </c>
      <c r="J6" s="34">
        <f t="shared" si="0"/>
        <v>14.245840481660597</v>
      </c>
      <c r="K6" s="55">
        <f t="shared" si="1"/>
        <v>1.9703790431065831</v>
      </c>
      <c r="L6" s="91">
        <f t="shared" si="2"/>
        <v>11.330283319328167</v>
      </c>
      <c r="M6" s="315"/>
    </row>
    <row r="7" spans="1:14" ht="15.75" x14ac:dyDescent="0.25">
      <c r="A7" s="137" t="s">
        <v>16</v>
      </c>
      <c r="B7" s="236">
        <v>465</v>
      </c>
      <c r="C7" s="137" t="s">
        <v>12</v>
      </c>
      <c r="D7" s="137" t="s">
        <v>7</v>
      </c>
      <c r="E7" s="237">
        <v>2145379.2843280286</v>
      </c>
      <c r="F7" s="237">
        <v>495713.35156860796</v>
      </c>
      <c r="G7" s="140">
        <f t="shared" si="3"/>
        <v>1649665.9327594205</v>
      </c>
      <c r="H7" s="138">
        <v>231204</v>
      </c>
      <c r="I7" s="235">
        <v>11820.544999999996</v>
      </c>
      <c r="J7" s="34">
        <f t="shared" si="0"/>
        <v>7.1351098283741647</v>
      </c>
      <c r="K7" s="55">
        <f t="shared" si="1"/>
        <v>0.98687549493418592</v>
      </c>
      <c r="L7" s="91">
        <f t="shared" si="2"/>
        <v>19.559504236056803</v>
      </c>
      <c r="M7" s="315"/>
    </row>
    <row r="8" spans="1:14" ht="15.75" x14ac:dyDescent="0.25">
      <c r="A8" s="137" t="s">
        <v>16</v>
      </c>
      <c r="B8" s="236">
        <v>470</v>
      </c>
      <c r="C8" s="137" t="s">
        <v>12</v>
      </c>
      <c r="D8" s="137" t="s">
        <v>7</v>
      </c>
      <c r="E8" s="237">
        <v>679748.68632844498</v>
      </c>
      <c r="F8" s="237">
        <v>267353.93378234422</v>
      </c>
      <c r="G8" s="140">
        <f t="shared" si="3"/>
        <v>412394.75254610076</v>
      </c>
      <c r="H8" s="138">
        <v>103128</v>
      </c>
      <c r="I8" s="235">
        <v>3449.1490000000003</v>
      </c>
      <c r="J8" s="34">
        <f t="shared" si="0"/>
        <v>3.9988630880662939</v>
      </c>
      <c r="K8" s="55">
        <f t="shared" si="1"/>
        <v>0.55309309655135463</v>
      </c>
      <c r="L8" s="91">
        <f t="shared" si="2"/>
        <v>29.899549135163483</v>
      </c>
      <c r="M8" s="315"/>
    </row>
    <row r="9" spans="1:14" ht="15.75" x14ac:dyDescent="0.25">
      <c r="A9" s="137" t="s">
        <v>16</v>
      </c>
      <c r="B9" s="236">
        <v>472</v>
      </c>
      <c r="C9" s="137" t="s">
        <v>12</v>
      </c>
      <c r="D9" s="137" t="s">
        <v>7</v>
      </c>
      <c r="E9" s="237">
        <v>697527.94462215272</v>
      </c>
      <c r="F9" s="237">
        <v>222100.24874315257</v>
      </c>
      <c r="G9" s="140">
        <f t="shared" si="3"/>
        <v>475427.69587900012</v>
      </c>
      <c r="H9" s="138">
        <v>70428</v>
      </c>
      <c r="I9" s="235">
        <v>3748.1949999999997</v>
      </c>
      <c r="J9" s="34">
        <f t="shared" si="0"/>
        <v>6.7505494388453471</v>
      </c>
      <c r="K9" s="55">
        <f t="shared" si="1"/>
        <v>0.93368595281401756</v>
      </c>
      <c r="L9" s="91">
        <f t="shared" si="2"/>
        <v>18.789844178331172</v>
      </c>
      <c r="M9" s="315"/>
    </row>
    <row r="10" spans="1:14" ht="15.75" x14ac:dyDescent="0.25">
      <c r="A10" s="137" t="s">
        <v>16</v>
      </c>
      <c r="B10" s="236">
        <v>475</v>
      </c>
      <c r="C10" s="137" t="s">
        <v>12</v>
      </c>
      <c r="D10" s="137" t="s">
        <v>7</v>
      </c>
      <c r="E10" s="237">
        <v>759219.08783698268</v>
      </c>
      <c r="F10" s="237">
        <v>139956.40945427879</v>
      </c>
      <c r="G10" s="140">
        <f t="shared" si="3"/>
        <v>619262.67838270392</v>
      </c>
      <c r="H10" s="138">
        <v>57878</v>
      </c>
      <c r="I10" s="235">
        <v>4233.4490000000005</v>
      </c>
      <c r="J10" s="34">
        <f t="shared" si="0"/>
        <v>10.699448467167212</v>
      </c>
      <c r="K10" s="55">
        <f t="shared" si="1"/>
        <v>1.4798683910328092</v>
      </c>
      <c r="L10" s="91">
        <f t="shared" si="2"/>
        <v>13.671594957208647</v>
      </c>
      <c r="M10" s="315"/>
    </row>
    <row r="11" spans="1:14" ht="15.75" x14ac:dyDescent="0.25">
      <c r="A11" s="137" t="s">
        <v>16</v>
      </c>
      <c r="B11" s="236">
        <v>476</v>
      </c>
      <c r="C11" s="137" t="s">
        <v>12</v>
      </c>
      <c r="D11" s="137" t="s">
        <v>7</v>
      </c>
      <c r="E11" s="237">
        <v>892679.23542067828</v>
      </c>
      <c r="F11" s="237">
        <v>255373.17631088529</v>
      </c>
      <c r="G11" s="140">
        <f t="shared" si="3"/>
        <v>637306.05910979304</v>
      </c>
      <c r="H11" s="138">
        <v>92676</v>
      </c>
      <c r="I11" s="235">
        <v>5009.146999999999</v>
      </c>
      <c r="J11" s="34">
        <f t="shared" si="0"/>
        <v>6.8767108972095583</v>
      </c>
      <c r="K11" s="55">
        <f t="shared" si="1"/>
        <v>0.95113567043009095</v>
      </c>
      <c r="L11" s="91">
        <f t="shared" si="2"/>
        <v>18.501353623680842</v>
      </c>
      <c r="M11" s="315"/>
    </row>
    <row r="12" spans="1:14" ht="15.75" x14ac:dyDescent="0.25">
      <c r="A12" s="137" t="s">
        <v>16</v>
      </c>
      <c r="B12" s="236">
        <v>477</v>
      </c>
      <c r="C12" s="137" t="s">
        <v>12</v>
      </c>
      <c r="D12" s="137" t="s">
        <v>7</v>
      </c>
      <c r="E12" s="237">
        <v>1787334.0777111806</v>
      </c>
      <c r="F12" s="237">
        <v>902981.20012595097</v>
      </c>
      <c r="G12" s="140">
        <f t="shared" si="3"/>
        <v>884352.87758522958</v>
      </c>
      <c r="H12" s="138">
        <v>349669</v>
      </c>
      <c r="I12" s="235">
        <v>8924.3990000000013</v>
      </c>
      <c r="J12" s="34">
        <f t="shared" si="0"/>
        <v>2.529114326935558</v>
      </c>
      <c r="K12" s="55">
        <f t="shared" si="1"/>
        <v>0.34980834397448934</v>
      </c>
      <c r="L12" s="91">
        <f t="shared" si="2"/>
        <v>39.181237862628052</v>
      </c>
      <c r="M12" s="315"/>
    </row>
    <row r="13" spans="1:14" ht="15.75" x14ac:dyDescent="0.25">
      <c r="A13" s="137" t="s">
        <v>16</v>
      </c>
      <c r="B13" s="236">
        <v>478</v>
      </c>
      <c r="C13" s="137" t="s">
        <v>12</v>
      </c>
      <c r="D13" s="137" t="s">
        <v>7</v>
      </c>
      <c r="E13" s="237">
        <v>618223.22251174808</v>
      </c>
      <c r="F13" s="237">
        <v>110208.09586280129</v>
      </c>
      <c r="G13" s="140">
        <f t="shared" si="3"/>
        <v>508015.12664894678</v>
      </c>
      <c r="H13" s="138">
        <v>39323</v>
      </c>
      <c r="I13" s="235">
        <v>3348.1509999999998</v>
      </c>
      <c r="J13" s="34">
        <f t="shared" si="0"/>
        <v>12.919032796301066</v>
      </c>
      <c r="K13" s="55">
        <f t="shared" si="1"/>
        <v>1.7868648404289162</v>
      </c>
      <c r="L13" s="91">
        <f t="shared" si="2"/>
        <v>11.744691323658939</v>
      </c>
      <c r="M13" s="315" t="s">
        <v>113</v>
      </c>
    </row>
    <row r="14" spans="1:14" ht="15.75" x14ac:dyDescent="0.25">
      <c r="A14" s="137" t="s">
        <v>16</v>
      </c>
      <c r="B14" s="236">
        <v>479</v>
      </c>
      <c r="C14" s="137" t="s">
        <v>12</v>
      </c>
      <c r="D14" s="137" t="s">
        <v>7</v>
      </c>
      <c r="E14" s="237">
        <v>197955.94037387747</v>
      </c>
      <c r="F14" s="237">
        <v>30896.067999121897</v>
      </c>
      <c r="G14" s="140">
        <f t="shared" si="3"/>
        <v>167059.87237475556</v>
      </c>
      <c r="H14" s="138">
        <v>11297</v>
      </c>
      <c r="I14" s="235">
        <v>1091.9480000000001</v>
      </c>
      <c r="J14" s="34">
        <f t="shared" si="0"/>
        <v>14.787985516044575</v>
      </c>
      <c r="K14" s="55">
        <f t="shared" si="1"/>
        <v>2.0453645250407435</v>
      </c>
      <c r="L14" s="91">
        <f t="shared" si="2"/>
        <v>10.345730749083289</v>
      </c>
      <c r="M14" s="315"/>
    </row>
    <row r="15" spans="1:14" ht="15.75" x14ac:dyDescent="0.25">
      <c r="A15" s="137" t="s">
        <v>16</v>
      </c>
      <c r="B15" s="236">
        <v>480</v>
      </c>
      <c r="C15" s="137" t="s">
        <v>12</v>
      </c>
      <c r="D15" s="137" t="s">
        <v>7</v>
      </c>
      <c r="E15" s="237">
        <v>945571.13104613195</v>
      </c>
      <c r="F15" s="237">
        <v>355468.09623588074</v>
      </c>
      <c r="G15" s="140">
        <f t="shared" si="3"/>
        <v>590103.03481025121</v>
      </c>
      <c r="H15" s="138">
        <v>134129</v>
      </c>
      <c r="I15" s="235">
        <v>4964.244999999999</v>
      </c>
      <c r="J15" s="34">
        <f t="shared" si="0"/>
        <v>4.3995186336306933</v>
      </c>
      <c r="K15" s="55">
        <f t="shared" si="1"/>
        <v>0.6085088013320461</v>
      </c>
      <c r="L15" s="91">
        <f t="shared" si="2"/>
        <v>27.019012961689043</v>
      </c>
      <c r="M15" s="315"/>
    </row>
    <row r="16" spans="1:14" ht="15.75" x14ac:dyDescent="0.25">
      <c r="A16" s="137" t="s">
        <v>16</v>
      </c>
      <c r="B16" s="236">
        <v>484</v>
      </c>
      <c r="C16" s="137" t="s">
        <v>12</v>
      </c>
      <c r="D16" s="137" t="s">
        <v>7</v>
      </c>
      <c r="E16" s="237">
        <v>494373.06111402984</v>
      </c>
      <c r="F16" s="237">
        <v>140230.40898929286</v>
      </c>
      <c r="G16" s="140">
        <f t="shared" si="3"/>
        <v>354142.65212473698</v>
      </c>
      <c r="H16" s="138">
        <v>54999</v>
      </c>
      <c r="I16" s="235">
        <v>2626.6459999999993</v>
      </c>
      <c r="J16" s="34">
        <f t="shared" si="0"/>
        <v>6.4390743854385892</v>
      </c>
      <c r="K16" s="55">
        <f t="shared" si="1"/>
        <v>0.89060503256412016</v>
      </c>
      <c r="L16" s="91">
        <f t="shared" si="2"/>
        <v>20.938870331213273</v>
      </c>
      <c r="M16" s="315"/>
    </row>
    <row r="17" spans="1:13" ht="15.75" x14ac:dyDescent="0.25">
      <c r="A17" s="137" t="s">
        <v>16</v>
      </c>
      <c r="B17" s="236">
        <v>490</v>
      </c>
      <c r="C17" s="137" t="s">
        <v>12</v>
      </c>
      <c r="D17" s="137" t="s">
        <v>7</v>
      </c>
      <c r="E17" s="237">
        <v>1071269.2566856577</v>
      </c>
      <c r="F17" s="237">
        <v>325989.70559116127</v>
      </c>
      <c r="G17" s="140">
        <f t="shared" si="3"/>
        <v>745279.55109449639</v>
      </c>
      <c r="H17" s="138">
        <v>127797</v>
      </c>
      <c r="I17" s="235">
        <v>6388.8509999999987</v>
      </c>
      <c r="J17" s="34">
        <f t="shared" si="0"/>
        <v>5.831745276450123</v>
      </c>
      <c r="K17" s="55">
        <f t="shared" si="1"/>
        <v>0.80660377267636552</v>
      </c>
      <c r="L17" s="91">
        <f t="shared" si="2"/>
        <v>20.003127322894215</v>
      </c>
      <c r="M17" s="315" t="s">
        <v>114</v>
      </c>
    </row>
    <row r="18" spans="1:13" ht="15.75" x14ac:dyDescent="0.25">
      <c r="A18" s="137" t="s">
        <v>16</v>
      </c>
      <c r="B18" s="236">
        <v>491</v>
      </c>
      <c r="C18" s="137" t="s">
        <v>12</v>
      </c>
      <c r="D18" s="137" t="s">
        <v>7</v>
      </c>
      <c r="E18" s="237">
        <v>243300.11351541901</v>
      </c>
      <c r="F18" s="237">
        <v>14296.858439140799</v>
      </c>
      <c r="G18" s="140">
        <f t="shared" si="3"/>
        <v>229003.2550762782</v>
      </c>
      <c r="H18" s="138">
        <v>7986</v>
      </c>
      <c r="I18" s="235">
        <v>1551.6489999999997</v>
      </c>
      <c r="J18" s="34">
        <f t="shared" si="0"/>
        <v>28.675589165574532</v>
      </c>
      <c r="K18" s="55">
        <f t="shared" si="1"/>
        <v>3.9661949053353429</v>
      </c>
      <c r="L18" s="91">
        <f t="shared" si="2"/>
        <v>5.1467825519817962</v>
      </c>
      <c r="M18" s="315" t="s">
        <v>115</v>
      </c>
    </row>
    <row r="19" spans="1:13" ht="15.75" x14ac:dyDescent="0.25">
      <c r="A19" s="137" t="s">
        <v>16</v>
      </c>
      <c r="B19" s="236">
        <v>492</v>
      </c>
      <c r="C19" s="137" t="s">
        <v>12</v>
      </c>
      <c r="D19" s="137" t="s">
        <v>7</v>
      </c>
      <c r="E19" s="237">
        <v>129491.26530883087</v>
      </c>
      <c r="F19" s="237">
        <v>10520.049849383762</v>
      </c>
      <c r="G19" s="140">
        <f t="shared" si="3"/>
        <v>118971.21545944711</v>
      </c>
      <c r="H19" s="138">
        <v>3805</v>
      </c>
      <c r="I19" s="235">
        <v>956.43399999999997</v>
      </c>
      <c r="J19" s="34">
        <f t="shared" si="0"/>
        <v>31.267073708133275</v>
      </c>
      <c r="K19" s="55">
        <f t="shared" si="1"/>
        <v>4.32462983514983</v>
      </c>
      <c r="L19" s="91">
        <f t="shared" si="2"/>
        <v>3.9783194658491858</v>
      </c>
      <c r="M19" s="315" t="s">
        <v>116</v>
      </c>
    </row>
    <row r="20" spans="1:13" ht="15.75" x14ac:dyDescent="0.25">
      <c r="A20" s="137" t="s">
        <v>16</v>
      </c>
      <c r="B20" s="236">
        <v>493</v>
      </c>
      <c r="C20" s="137" t="s">
        <v>12</v>
      </c>
      <c r="D20" s="137" t="s">
        <v>7</v>
      </c>
      <c r="E20" s="237">
        <v>1028433.0603402476</v>
      </c>
      <c r="F20" s="237">
        <v>181005.26896017202</v>
      </c>
      <c r="G20" s="140">
        <f t="shared" si="3"/>
        <v>847427.79138007551</v>
      </c>
      <c r="H20" s="138">
        <v>72994</v>
      </c>
      <c r="I20" s="235">
        <v>5317.8940000000002</v>
      </c>
      <c r="J20" s="34">
        <f t="shared" si="0"/>
        <v>11.609554091844199</v>
      </c>
      <c r="K20" s="55">
        <f t="shared" si="1"/>
        <v>1.6057474539203593</v>
      </c>
      <c r="L20" s="91">
        <f t="shared" si="2"/>
        <v>13.726110373768261</v>
      </c>
      <c r="M20" s="315"/>
    </row>
    <row r="21" spans="1:13" ht="15.75" x14ac:dyDescent="0.25">
      <c r="A21" s="137" t="s">
        <v>16</v>
      </c>
      <c r="B21" s="236">
        <v>495</v>
      </c>
      <c r="C21" s="137" t="s">
        <v>12</v>
      </c>
      <c r="D21" s="137" t="s">
        <v>7</v>
      </c>
      <c r="E21" s="237">
        <v>1051880.9583371307</v>
      </c>
      <c r="F21" s="237">
        <v>90037.314212092009</v>
      </c>
      <c r="G21" s="140">
        <f t="shared" si="3"/>
        <v>961843.64412503876</v>
      </c>
      <c r="H21" s="138">
        <v>78774</v>
      </c>
      <c r="I21" s="235">
        <v>6689.3410000000003</v>
      </c>
      <c r="J21" s="34">
        <f t="shared" si="0"/>
        <v>12.210166350890379</v>
      </c>
      <c r="K21" s="55">
        <f t="shared" si="1"/>
        <v>1.688819688919831</v>
      </c>
      <c r="L21" s="91">
        <f t="shared" si="2"/>
        <v>11.776047894702931</v>
      </c>
      <c r="M21" s="315" t="s">
        <v>117</v>
      </c>
    </row>
    <row r="22" spans="1:13" ht="15.75" x14ac:dyDescent="0.25">
      <c r="A22" s="137" t="s">
        <v>16</v>
      </c>
      <c r="B22" s="236">
        <v>465</v>
      </c>
      <c r="C22" s="137" t="s">
        <v>12</v>
      </c>
      <c r="D22" s="137" t="s">
        <v>8</v>
      </c>
      <c r="E22" s="237">
        <v>77692.432161609904</v>
      </c>
      <c r="F22" s="237">
        <v>1248.6405341114744</v>
      </c>
      <c r="G22" s="140">
        <f t="shared" si="3"/>
        <v>76443.791627498431</v>
      </c>
      <c r="H22" s="138">
        <v>883</v>
      </c>
      <c r="I22" s="235">
        <v>254.71800000000002</v>
      </c>
      <c r="J22" s="34">
        <f t="shared" si="0"/>
        <v>86.572810450168092</v>
      </c>
      <c r="K22" s="55">
        <f t="shared" si="1"/>
        <v>2.2890955219592484</v>
      </c>
      <c r="L22" s="91">
        <f t="shared" si="2"/>
        <v>3.466578726277687</v>
      </c>
      <c r="M22" s="315"/>
    </row>
    <row r="23" spans="1:13" ht="15.75" x14ac:dyDescent="0.25">
      <c r="A23" s="137" t="s">
        <v>16</v>
      </c>
      <c r="B23" s="236">
        <v>495</v>
      </c>
      <c r="C23" s="137" t="s">
        <v>12</v>
      </c>
      <c r="D23" s="137" t="s">
        <v>8</v>
      </c>
      <c r="E23" s="237">
        <v>238298.54153284617</v>
      </c>
      <c r="F23" s="237">
        <v>18904.892469571667</v>
      </c>
      <c r="G23" s="140">
        <f t="shared" si="3"/>
        <v>219393.6490632745</v>
      </c>
      <c r="H23" s="138">
        <v>17688</v>
      </c>
      <c r="I23" s="235">
        <v>1422.8980000000001</v>
      </c>
      <c r="J23" s="34">
        <f t="shared" si="0"/>
        <v>12.403530589285079</v>
      </c>
      <c r="K23" s="55">
        <f t="shared" si="1"/>
        <v>0.32796516805654774</v>
      </c>
      <c r="L23" s="91">
        <f t="shared" si="2"/>
        <v>12.430968347696039</v>
      </c>
      <c r="M23" s="315" t="s">
        <v>117</v>
      </c>
    </row>
    <row r="24" spans="1:13" ht="15.75" x14ac:dyDescent="0.25">
      <c r="A24" s="137" t="s">
        <v>16</v>
      </c>
      <c r="B24" s="236">
        <v>465</v>
      </c>
      <c r="C24" s="137" t="s">
        <v>12</v>
      </c>
      <c r="D24" s="137" t="s">
        <v>9</v>
      </c>
      <c r="E24" s="237">
        <v>83447.776197980158</v>
      </c>
      <c r="F24" s="237">
        <v>1028.260308030156</v>
      </c>
      <c r="G24" s="140">
        <f t="shared" si="3"/>
        <v>82419.515889950009</v>
      </c>
      <c r="H24" s="138">
        <v>676</v>
      </c>
      <c r="I24" s="235">
        <v>273.58600000000001</v>
      </c>
      <c r="J24" s="34">
        <f t="shared" si="0"/>
        <v>121.92236078394971</v>
      </c>
      <c r="K24" s="55">
        <f t="shared" si="1"/>
        <v>3.2237827170678073</v>
      </c>
      <c r="L24" s="91">
        <f t="shared" si="2"/>
        <v>2.4708866681774651</v>
      </c>
      <c r="M24" s="315"/>
    </row>
    <row r="25" spans="1:13" ht="15.75" x14ac:dyDescent="0.25">
      <c r="A25" s="137" t="s">
        <v>16</v>
      </c>
      <c r="B25" s="236">
        <v>495</v>
      </c>
      <c r="C25" s="137" t="s">
        <v>12</v>
      </c>
      <c r="D25" s="137" t="s">
        <v>9</v>
      </c>
      <c r="E25" s="237">
        <v>255925.50774113712</v>
      </c>
      <c r="F25" s="237">
        <v>15518.413233593816</v>
      </c>
      <c r="G25" s="140">
        <f t="shared" si="3"/>
        <v>240407.09450754331</v>
      </c>
      <c r="H25" s="138">
        <v>16014</v>
      </c>
      <c r="I25" s="235">
        <v>1527.3590000000004</v>
      </c>
      <c r="J25" s="34">
        <f t="shared" si="0"/>
        <v>15.01230763753861</v>
      </c>
      <c r="K25" s="55">
        <f t="shared" si="1"/>
        <v>0.39694456040727427</v>
      </c>
      <c r="L25" s="91">
        <f t="shared" si="2"/>
        <v>10.484764878460137</v>
      </c>
      <c r="M25" s="315" t="s">
        <v>117</v>
      </c>
    </row>
    <row r="26" spans="1:13" ht="15.75" x14ac:dyDescent="0.25">
      <c r="A26" s="137" t="s">
        <v>14</v>
      </c>
      <c r="B26" s="236">
        <v>742</v>
      </c>
      <c r="C26" s="137" t="s">
        <v>12</v>
      </c>
      <c r="D26" s="137" t="s">
        <v>7</v>
      </c>
      <c r="E26" s="237">
        <v>315804.85951476434</v>
      </c>
      <c r="F26" s="237">
        <v>60828.149344447069</v>
      </c>
      <c r="G26" s="140">
        <f t="shared" si="3"/>
        <v>254976.71017031727</v>
      </c>
      <c r="H26" s="138">
        <v>25861</v>
      </c>
      <c r="I26" s="235">
        <v>2082.37</v>
      </c>
      <c r="J26" s="34">
        <f t="shared" si="0"/>
        <v>9.8595069862076983</v>
      </c>
      <c r="K26" s="55">
        <f t="shared" si="1"/>
        <v>1.3636939123385474</v>
      </c>
      <c r="L26" s="91">
        <f t="shared" si="2"/>
        <v>12.419022556029908</v>
      </c>
      <c r="M26" s="315"/>
    </row>
    <row r="27" spans="1:13" ht="15.75" x14ac:dyDescent="0.25">
      <c r="A27" s="137" t="s">
        <v>14</v>
      </c>
      <c r="B27" s="236">
        <v>747</v>
      </c>
      <c r="C27" s="137" t="s">
        <v>12</v>
      </c>
      <c r="D27" s="137" t="s">
        <v>7</v>
      </c>
      <c r="E27" s="237">
        <v>458481.7363876896</v>
      </c>
      <c r="F27" s="237">
        <v>142791.27285302681</v>
      </c>
      <c r="G27" s="140">
        <f t="shared" si="3"/>
        <v>315690.46353466279</v>
      </c>
      <c r="H27" s="138">
        <v>60736</v>
      </c>
      <c r="I27" s="235">
        <v>2762.369999999999</v>
      </c>
      <c r="J27" s="34">
        <f t="shared" si="0"/>
        <v>5.197748675162388</v>
      </c>
      <c r="K27" s="55">
        <f t="shared" si="1"/>
        <v>0.71891406295468707</v>
      </c>
      <c r="L27" s="91">
        <f t="shared" si="2"/>
        <v>21.986917031389719</v>
      </c>
      <c r="M27" s="315"/>
    </row>
    <row r="28" spans="1:13" ht="15.75" x14ac:dyDescent="0.25">
      <c r="A28" s="137" t="s">
        <v>14</v>
      </c>
      <c r="B28" s="236">
        <v>772</v>
      </c>
      <c r="C28" s="137" t="s">
        <v>12</v>
      </c>
      <c r="D28" s="137" t="s">
        <v>7</v>
      </c>
      <c r="E28" s="237">
        <v>287526.72877666721</v>
      </c>
      <c r="F28" s="237">
        <v>147013.90173900963</v>
      </c>
      <c r="G28" s="140">
        <f t="shared" si="3"/>
        <v>140512.82703765758</v>
      </c>
      <c r="H28" s="138">
        <v>62493</v>
      </c>
      <c r="I28" s="235">
        <v>2118.7000000000007</v>
      </c>
      <c r="J28" s="34">
        <f t="shared" si="0"/>
        <v>2.2484570597932181</v>
      </c>
      <c r="K28" s="55">
        <f t="shared" si="1"/>
        <v>0.31098991145134414</v>
      </c>
      <c r="L28" s="91">
        <f t="shared" si="2"/>
        <v>29.495917307783063</v>
      </c>
      <c r="M28" s="315"/>
    </row>
    <row r="29" spans="1:13" ht="15.75" x14ac:dyDescent="0.25">
      <c r="A29" s="137" t="s">
        <v>14</v>
      </c>
      <c r="B29" s="236">
        <v>774</v>
      </c>
      <c r="C29" s="137" t="s">
        <v>12</v>
      </c>
      <c r="D29" s="137" t="s">
        <v>7</v>
      </c>
      <c r="E29" s="237">
        <f>534350.019825506+1</f>
        <v>534351.01982550602</v>
      </c>
      <c r="F29" s="237">
        <v>203747.98648970004</v>
      </c>
      <c r="G29" s="140">
        <f t="shared" si="3"/>
        <v>330603.03333580599</v>
      </c>
      <c r="H29" s="138">
        <v>86513</v>
      </c>
      <c r="I29" s="235">
        <v>4013.559999999999</v>
      </c>
      <c r="J29" s="34">
        <f t="shared" si="0"/>
        <v>3.8214260670165872</v>
      </c>
      <c r="K29" s="55">
        <f t="shared" si="1"/>
        <v>0.52855132323880871</v>
      </c>
      <c r="L29" s="91">
        <f t="shared" si="2"/>
        <v>21.555177946760487</v>
      </c>
      <c r="M29" s="315"/>
    </row>
    <row r="30" spans="1:13" ht="15.75" x14ac:dyDescent="0.25">
      <c r="A30" s="137" t="s">
        <v>14</v>
      </c>
      <c r="B30" s="236">
        <v>776</v>
      </c>
      <c r="C30" s="137" t="s">
        <v>12</v>
      </c>
      <c r="D30" s="137" t="s">
        <v>7</v>
      </c>
      <c r="E30" s="237">
        <f>518748.588922943+1</f>
        <v>518749.58892294299</v>
      </c>
      <c r="F30" s="237">
        <v>194707.63310907615</v>
      </c>
      <c r="G30" s="140">
        <f t="shared" si="3"/>
        <v>324041.95581386681</v>
      </c>
      <c r="H30" s="138">
        <v>82710</v>
      </c>
      <c r="I30" s="235">
        <v>3636.7599999999998</v>
      </c>
      <c r="J30" s="34">
        <f t="shared" si="0"/>
        <v>3.9178086786829502</v>
      </c>
      <c r="K30" s="55">
        <f t="shared" si="1"/>
        <v>0.54188225154674274</v>
      </c>
      <c r="L30" s="91">
        <f t="shared" si="2"/>
        <v>22.742771037956864</v>
      </c>
      <c r="M30" s="315"/>
    </row>
    <row r="31" spans="1:13" ht="15.75" x14ac:dyDescent="0.25">
      <c r="A31" s="137" t="s">
        <v>14</v>
      </c>
      <c r="B31" s="236">
        <v>777</v>
      </c>
      <c r="C31" s="137" t="s">
        <v>12</v>
      </c>
      <c r="D31" s="137" t="s">
        <v>7</v>
      </c>
      <c r="E31" s="237">
        <v>362597.27434452646</v>
      </c>
      <c r="F31" s="237">
        <v>124400.12577345855</v>
      </c>
      <c r="G31" s="140">
        <f t="shared" si="3"/>
        <v>238197.1485710679</v>
      </c>
      <c r="H31" s="138">
        <v>52891</v>
      </c>
      <c r="I31" s="235">
        <v>2569.8900000000012</v>
      </c>
      <c r="J31" s="34">
        <f t="shared" si="0"/>
        <v>4.5035478355687717</v>
      </c>
      <c r="K31" s="55">
        <f t="shared" si="1"/>
        <v>0.62289734931794905</v>
      </c>
      <c r="L31" s="91">
        <f t="shared" si="2"/>
        <v>20.581036542420094</v>
      </c>
      <c r="M31" s="315"/>
    </row>
    <row r="32" spans="1:13" ht="15.75" x14ac:dyDescent="0.25">
      <c r="A32" s="137" t="s">
        <v>14</v>
      </c>
      <c r="B32" s="236">
        <v>790</v>
      </c>
      <c r="C32" s="137" t="s">
        <v>12</v>
      </c>
      <c r="D32" s="137" t="s">
        <v>7</v>
      </c>
      <c r="E32" s="237">
        <v>491251.44000074774</v>
      </c>
      <c r="F32" s="237">
        <v>169595.86763039883</v>
      </c>
      <c r="G32" s="140">
        <f t="shared" si="3"/>
        <v>321655.57237034891</v>
      </c>
      <c r="H32" s="138">
        <v>72086</v>
      </c>
      <c r="I32" s="235">
        <v>3754.4500000000016</v>
      </c>
      <c r="J32" s="34">
        <f t="shared" si="0"/>
        <v>4.4621087641199253</v>
      </c>
      <c r="K32" s="55">
        <f t="shared" si="1"/>
        <v>0.61716580416596478</v>
      </c>
      <c r="L32" s="91">
        <f t="shared" si="2"/>
        <v>19.200149156334476</v>
      </c>
      <c r="M32" s="315"/>
    </row>
    <row r="33" spans="1:13" ht="15.75" x14ac:dyDescent="0.25">
      <c r="A33" s="137" t="s">
        <v>14</v>
      </c>
      <c r="B33" s="236">
        <v>793</v>
      </c>
      <c r="C33" s="137" t="s">
        <v>12</v>
      </c>
      <c r="D33" s="137" t="s">
        <v>7</v>
      </c>
      <c r="E33" s="237">
        <v>134093.28596229784</v>
      </c>
      <c r="F33" s="237">
        <v>32771.323929729973</v>
      </c>
      <c r="G33" s="140">
        <f t="shared" si="3"/>
        <v>101321.96203256787</v>
      </c>
      <c r="H33" s="138">
        <v>13936</v>
      </c>
      <c r="I33" s="235">
        <v>1013.1200000000001</v>
      </c>
      <c r="J33" s="34">
        <f t="shared" si="0"/>
        <v>7.2705196636457998</v>
      </c>
      <c r="K33" s="55">
        <f t="shared" si="1"/>
        <v>1.0056043794807468</v>
      </c>
      <c r="L33" s="91">
        <f t="shared" si="2"/>
        <v>13.755527479469361</v>
      </c>
      <c r="M33" s="315"/>
    </row>
    <row r="34" spans="1:13" ht="15.75" x14ac:dyDescent="0.25">
      <c r="A34" s="137" t="s">
        <v>14</v>
      </c>
      <c r="B34" s="236">
        <v>795</v>
      </c>
      <c r="C34" s="137" t="s">
        <v>12</v>
      </c>
      <c r="D34" s="137" t="s">
        <v>7</v>
      </c>
      <c r="E34" s="237">
        <v>69633.772482974513</v>
      </c>
      <c r="F34" s="237">
        <v>13672.699131152982</v>
      </c>
      <c r="G34" s="140">
        <f t="shared" si="3"/>
        <v>55961.073351821527</v>
      </c>
      <c r="H34" s="138">
        <v>5805</v>
      </c>
      <c r="I34" s="235">
        <v>561.70000000000005</v>
      </c>
      <c r="J34" s="34">
        <f t="shared" si="0"/>
        <v>9.6401504482035367</v>
      </c>
      <c r="K34" s="55">
        <f t="shared" si="1"/>
        <v>1.3333541422134905</v>
      </c>
      <c r="L34" s="91">
        <f t="shared" si="2"/>
        <v>10.334698237493322</v>
      </c>
      <c r="M34" s="315"/>
    </row>
    <row r="35" spans="1:13" ht="15.75" x14ac:dyDescent="0.25">
      <c r="A35" s="137" t="s">
        <v>11</v>
      </c>
      <c r="B35" s="236">
        <v>780</v>
      </c>
      <c r="C35" s="137" t="s">
        <v>12</v>
      </c>
      <c r="D35" s="137" t="s">
        <v>7</v>
      </c>
      <c r="E35" s="237">
        <v>298369.42088851391</v>
      </c>
      <c r="F35" s="237">
        <v>62991.837916858407</v>
      </c>
      <c r="G35" s="140">
        <f t="shared" si="3"/>
        <v>235377.5829716555</v>
      </c>
      <c r="H35" s="138">
        <v>22535</v>
      </c>
      <c r="I35" s="235">
        <v>1547.241</v>
      </c>
      <c r="J35" s="34">
        <f t="shared" si="0"/>
        <v>10.444978166037519</v>
      </c>
      <c r="K35" s="55">
        <f t="shared" si="1"/>
        <v>1.4446719455100301</v>
      </c>
      <c r="L35" s="91">
        <f t="shared" si="2"/>
        <v>14.56463472723383</v>
      </c>
      <c r="M35" s="316"/>
    </row>
    <row r="36" spans="1:13" ht="15.75" x14ac:dyDescent="0.25">
      <c r="A36" s="137" t="s">
        <v>11</v>
      </c>
      <c r="B36" s="236">
        <v>781</v>
      </c>
      <c r="C36" s="137" t="s">
        <v>12</v>
      </c>
      <c r="D36" s="137" t="s">
        <v>7</v>
      </c>
      <c r="E36" s="237">
        <v>1762121.7892634284</v>
      </c>
      <c r="F36" s="237">
        <v>1145009.080955911</v>
      </c>
      <c r="G36" s="140">
        <f t="shared" si="3"/>
        <v>617112.70830751746</v>
      </c>
      <c r="H36" s="138">
        <v>409621</v>
      </c>
      <c r="I36" s="235">
        <v>8267.6149999999998</v>
      </c>
      <c r="J36" s="34">
        <f t="shared" ref="J36:J99" si="4">+G36/H36</f>
        <v>1.5065455831305461</v>
      </c>
      <c r="K36" s="55">
        <f t="shared" ref="K36:K54" si="5">+IF(D36="Weekday",J36/$J$135,J36/$J$136)</f>
        <v>0.20837421620062876</v>
      </c>
      <c r="L36" s="91">
        <f t="shared" ref="L36:L67" si="6">+H36/I36</f>
        <v>49.545243700873833</v>
      </c>
      <c r="M36" s="316"/>
    </row>
    <row r="37" spans="1:13" ht="15.75" x14ac:dyDescent="0.25">
      <c r="A37" s="137" t="s">
        <v>11</v>
      </c>
      <c r="B37" s="236">
        <v>782</v>
      </c>
      <c r="C37" s="137" t="s">
        <v>12</v>
      </c>
      <c r="D37" s="137" t="s">
        <v>7</v>
      </c>
      <c r="E37" s="237">
        <v>462494.49670881452</v>
      </c>
      <c r="F37" s="237">
        <v>108546.66296815823</v>
      </c>
      <c r="G37" s="140">
        <f t="shared" si="3"/>
        <v>353947.83374065626</v>
      </c>
      <c r="H37" s="138">
        <v>38832</v>
      </c>
      <c r="I37" s="235">
        <v>2386.5700000000002</v>
      </c>
      <c r="J37" s="34">
        <f t="shared" si="4"/>
        <v>9.1148494473798998</v>
      </c>
      <c r="K37" s="55">
        <f t="shared" si="5"/>
        <v>1.2606984021272336</v>
      </c>
      <c r="L37" s="91">
        <f t="shared" si="6"/>
        <v>16.271050084430794</v>
      </c>
      <c r="M37" s="316"/>
    </row>
    <row r="38" spans="1:13" ht="15.75" x14ac:dyDescent="0.25">
      <c r="A38" s="137" t="s">
        <v>11</v>
      </c>
      <c r="B38" s="236">
        <v>783</v>
      </c>
      <c r="C38" s="137" t="s">
        <v>12</v>
      </c>
      <c r="D38" s="137" t="s">
        <v>7</v>
      </c>
      <c r="E38" s="237">
        <v>461288.09653233673</v>
      </c>
      <c r="F38" s="237">
        <v>181224.17731643064</v>
      </c>
      <c r="G38" s="140">
        <f t="shared" si="3"/>
        <v>280063.91921590606</v>
      </c>
      <c r="H38" s="138">
        <v>64832</v>
      </c>
      <c r="I38" s="235">
        <v>2298.0209999999997</v>
      </c>
      <c r="J38" s="34">
        <f t="shared" si="4"/>
        <v>4.3198408072542271</v>
      </c>
      <c r="K38" s="55">
        <f t="shared" si="5"/>
        <v>0.59748835508357223</v>
      </c>
      <c r="L38" s="91">
        <f t="shared" si="6"/>
        <v>28.212100759740668</v>
      </c>
      <c r="M38" s="316"/>
    </row>
    <row r="39" spans="1:13" ht="15.75" x14ac:dyDescent="0.25">
      <c r="A39" s="137" t="s">
        <v>11</v>
      </c>
      <c r="B39" s="236">
        <v>785</v>
      </c>
      <c r="C39" s="137" t="s">
        <v>12</v>
      </c>
      <c r="D39" s="137" t="s">
        <v>7</v>
      </c>
      <c r="E39" s="237">
        <v>871112.88833368407</v>
      </c>
      <c r="F39" s="237">
        <v>660764.3934313989</v>
      </c>
      <c r="G39" s="140">
        <f t="shared" si="3"/>
        <v>210348.49490228517</v>
      </c>
      <c r="H39" s="138">
        <v>236385</v>
      </c>
      <c r="I39" s="235">
        <v>3980.2529999999997</v>
      </c>
      <c r="J39" s="34">
        <f t="shared" si="4"/>
        <v>0.88985551072312186</v>
      </c>
      <c r="K39" s="55">
        <f t="shared" si="5"/>
        <v>0.12307821725077757</v>
      </c>
      <c r="L39" s="91">
        <f t="shared" si="6"/>
        <v>59.389440821977907</v>
      </c>
      <c r="M39" s="316"/>
    </row>
    <row r="40" spans="1:13" ht="15.75" x14ac:dyDescent="0.25">
      <c r="A40" s="137" t="s">
        <v>11</v>
      </c>
      <c r="B40" s="236">
        <v>789</v>
      </c>
      <c r="C40" s="137" t="s">
        <v>12</v>
      </c>
      <c r="D40" s="137" t="s">
        <v>7</v>
      </c>
      <c r="E40" s="237">
        <v>99602.980281398035</v>
      </c>
      <c r="F40" s="237">
        <v>52638.087411242988</v>
      </c>
      <c r="G40" s="140">
        <f t="shared" si="3"/>
        <v>46964.892870155047</v>
      </c>
      <c r="H40" s="138">
        <v>18831</v>
      </c>
      <c r="I40" s="235">
        <v>480.95600000000002</v>
      </c>
      <c r="J40" s="34">
        <f t="shared" si="4"/>
        <v>2.4940201194920633</v>
      </c>
      <c r="K40" s="55">
        <f t="shared" si="5"/>
        <v>0.34495437337372936</v>
      </c>
      <c r="L40" s="91">
        <f t="shared" si="6"/>
        <v>39.15326973777227</v>
      </c>
      <c r="M40" s="316"/>
    </row>
    <row r="41" spans="1:13" ht="15.75" x14ac:dyDescent="0.25">
      <c r="A41" s="137" t="s">
        <v>122</v>
      </c>
      <c r="B41" s="236">
        <v>690</v>
      </c>
      <c r="C41" s="137" t="s">
        <v>12</v>
      </c>
      <c r="D41" s="137" t="s">
        <v>7</v>
      </c>
      <c r="E41" s="237">
        <v>2913803</v>
      </c>
      <c r="F41" s="237">
        <v>1000421</v>
      </c>
      <c r="G41" s="140">
        <f t="shared" si="3"/>
        <v>1913382</v>
      </c>
      <c r="H41" s="138">
        <v>350141</v>
      </c>
      <c r="I41" s="235">
        <v>11904</v>
      </c>
      <c r="J41" s="34">
        <f t="shared" si="4"/>
        <v>5.4646042594269169</v>
      </c>
      <c r="K41" s="55">
        <f t="shared" si="5"/>
        <v>0.75582354902170357</v>
      </c>
      <c r="L41" s="91">
        <f t="shared" si="6"/>
        <v>29.413726478494624</v>
      </c>
      <c r="M41" s="315"/>
    </row>
    <row r="42" spans="1:13" ht="15.75" x14ac:dyDescent="0.25">
      <c r="A42" s="137" t="s">
        <v>122</v>
      </c>
      <c r="B42" s="236">
        <v>691</v>
      </c>
      <c r="C42" s="137" t="s">
        <v>12</v>
      </c>
      <c r="D42" s="137" t="s">
        <v>7</v>
      </c>
      <c r="E42" s="237">
        <v>77858</v>
      </c>
      <c r="F42" s="237">
        <v>18213</v>
      </c>
      <c r="G42" s="140">
        <f t="shared" si="3"/>
        <v>59645</v>
      </c>
      <c r="H42" s="138">
        <v>8151</v>
      </c>
      <c r="I42" s="235">
        <v>271.77999999999997</v>
      </c>
      <c r="J42" s="34">
        <f t="shared" si="4"/>
        <v>7.3175070543491598</v>
      </c>
      <c r="K42" s="55">
        <f t="shared" si="5"/>
        <v>1.0121033270192474</v>
      </c>
      <c r="L42" s="91">
        <f t="shared" si="6"/>
        <v>29.991169328133051</v>
      </c>
      <c r="M42" s="315" t="s">
        <v>123</v>
      </c>
    </row>
    <row r="43" spans="1:13" ht="15.75" x14ac:dyDescent="0.25">
      <c r="A43" s="137" t="s">
        <v>122</v>
      </c>
      <c r="B43" s="236">
        <v>692</v>
      </c>
      <c r="C43" s="137" t="s">
        <v>12</v>
      </c>
      <c r="D43" s="137" t="s">
        <v>7</v>
      </c>
      <c r="E43" s="237">
        <v>350399</v>
      </c>
      <c r="F43" s="237">
        <v>104131</v>
      </c>
      <c r="G43" s="140">
        <f t="shared" si="3"/>
        <v>246268</v>
      </c>
      <c r="H43" s="138">
        <v>35563</v>
      </c>
      <c r="I43" s="235">
        <v>1212.5</v>
      </c>
      <c r="J43" s="34">
        <f t="shared" si="4"/>
        <v>6.9248376121249615</v>
      </c>
      <c r="K43" s="55">
        <f t="shared" si="5"/>
        <v>0.95779220084715921</v>
      </c>
      <c r="L43" s="91">
        <f t="shared" si="6"/>
        <v>29.330309278350516</v>
      </c>
      <c r="M43" s="315"/>
    </row>
    <row r="44" spans="1:13" ht="15.75" x14ac:dyDescent="0.25">
      <c r="A44" s="137" t="s">
        <v>122</v>
      </c>
      <c r="B44" s="236">
        <v>695</v>
      </c>
      <c r="C44" s="137" t="s">
        <v>12</v>
      </c>
      <c r="D44" s="137" t="s">
        <v>7</v>
      </c>
      <c r="E44" s="237">
        <v>1079551</v>
      </c>
      <c r="F44" s="237">
        <v>235597</v>
      </c>
      <c r="G44" s="140">
        <f t="shared" si="3"/>
        <v>843954</v>
      </c>
      <c r="H44" s="138">
        <v>82670</v>
      </c>
      <c r="I44" s="235">
        <v>3639.38</v>
      </c>
      <c r="J44" s="34">
        <f t="shared" si="4"/>
        <v>10.208709326236844</v>
      </c>
      <c r="K44" s="55">
        <f t="shared" si="5"/>
        <v>1.4119929911807529</v>
      </c>
      <c r="L44" s="91">
        <f t="shared" si="6"/>
        <v>22.715407569421163</v>
      </c>
      <c r="M44" s="315" t="s">
        <v>124</v>
      </c>
    </row>
    <row r="45" spans="1:13" ht="15.75" x14ac:dyDescent="0.25">
      <c r="A45" s="137" t="s">
        <v>122</v>
      </c>
      <c r="B45" s="236">
        <v>697</v>
      </c>
      <c r="C45" s="137" t="s">
        <v>12</v>
      </c>
      <c r="D45" s="137" t="s">
        <v>7</v>
      </c>
      <c r="E45" s="237">
        <v>490510</v>
      </c>
      <c r="F45" s="237">
        <v>148193</v>
      </c>
      <c r="G45" s="140">
        <f t="shared" si="3"/>
        <v>342317</v>
      </c>
      <c r="H45" s="138">
        <v>51086</v>
      </c>
      <c r="I45" s="235">
        <v>1684.27</v>
      </c>
      <c r="J45" s="34">
        <f t="shared" si="4"/>
        <v>6.7007986532513799</v>
      </c>
      <c r="K45" s="55">
        <f t="shared" si="5"/>
        <v>0.92680479298082707</v>
      </c>
      <c r="L45" s="91">
        <f t="shared" si="6"/>
        <v>30.331241428037071</v>
      </c>
      <c r="M45" s="315"/>
    </row>
    <row r="46" spans="1:13" ht="15.75" x14ac:dyDescent="0.25">
      <c r="A46" s="137" t="s">
        <v>122</v>
      </c>
      <c r="B46" s="236">
        <v>698</v>
      </c>
      <c r="C46" s="137" t="s">
        <v>12</v>
      </c>
      <c r="D46" s="137" t="s">
        <v>7</v>
      </c>
      <c r="E46" s="237">
        <v>2480765</v>
      </c>
      <c r="F46" s="237">
        <v>455042</v>
      </c>
      <c r="G46" s="140">
        <f t="shared" si="3"/>
        <v>2025723</v>
      </c>
      <c r="H46" s="138">
        <v>186109</v>
      </c>
      <c r="I46" s="235">
        <v>10242.83</v>
      </c>
      <c r="J46" s="34">
        <f t="shared" si="4"/>
        <v>10.884605258208898</v>
      </c>
      <c r="K46" s="55">
        <f t="shared" si="5"/>
        <v>1.5054779056997092</v>
      </c>
      <c r="L46" s="91">
        <f t="shared" si="6"/>
        <v>18.16968552636332</v>
      </c>
      <c r="M46" s="315"/>
    </row>
    <row r="47" spans="1:13" ht="15.75" x14ac:dyDescent="0.25">
      <c r="A47" s="137" t="s">
        <v>122</v>
      </c>
      <c r="B47" s="236">
        <v>699</v>
      </c>
      <c r="C47" s="137" t="s">
        <v>12</v>
      </c>
      <c r="D47" s="137" t="s">
        <v>7</v>
      </c>
      <c r="E47" s="237">
        <v>1386785</v>
      </c>
      <c r="F47" s="237">
        <v>412183</v>
      </c>
      <c r="G47" s="140">
        <f t="shared" si="3"/>
        <v>974602</v>
      </c>
      <c r="H47" s="138">
        <v>142741</v>
      </c>
      <c r="I47" s="235">
        <v>4873.3</v>
      </c>
      <c r="J47" s="34">
        <f t="shared" si="4"/>
        <v>6.8277649729229868</v>
      </c>
      <c r="K47" s="55">
        <f t="shared" si="5"/>
        <v>0.94436583304605626</v>
      </c>
      <c r="L47" s="91">
        <f t="shared" si="6"/>
        <v>29.290419223113702</v>
      </c>
      <c r="M47" s="315"/>
    </row>
    <row r="48" spans="1:13" ht="15.75" x14ac:dyDescent="0.25">
      <c r="A48" s="137" t="s">
        <v>21</v>
      </c>
      <c r="B48" s="236">
        <v>118</v>
      </c>
      <c r="C48" s="137" t="s">
        <v>12</v>
      </c>
      <c r="D48" s="137" t="s">
        <v>7</v>
      </c>
      <c r="E48" s="237">
        <v>4516.1925537190082</v>
      </c>
      <c r="F48" s="237">
        <v>2375.514999999999</v>
      </c>
      <c r="G48" s="140">
        <f t="shared" si="3"/>
        <v>2140.6775537190092</v>
      </c>
      <c r="H48" s="138">
        <v>1244</v>
      </c>
      <c r="I48" s="235">
        <v>40.85</v>
      </c>
      <c r="J48" s="34">
        <f t="shared" si="4"/>
        <v>1.7208018920570813</v>
      </c>
      <c r="K48" s="55">
        <f t="shared" si="5"/>
        <v>0.23800856045049534</v>
      </c>
      <c r="L48" s="91">
        <f t="shared" si="6"/>
        <v>30.452876376988982</v>
      </c>
      <c r="M48" s="315"/>
    </row>
    <row r="49" spans="1:13" ht="15.75" x14ac:dyDescent="0.25">
      <c r="A49" s="137" t="s">
        <v>21</v>
      </c>
      <c r="B49" s="236">
        <v>350</v>
      </c>
      <c r="C49" s="137" t="s">
        <v>12</v>
      </c>
      <c r="D49" s="137" t="s">
        <v>7</v>
      </c>
      <c r="E49" s="237">
        <v>316688.66271395248</v>
      </c>
      <c r="F49" s="237">
        <v>40428.324999999924</v>
      </c>
      <c r="G49" s="140">
        <f t="shared" si="3"/>
        <v>276260.33771395253</v>
      </c>
      <c r="H49" s="138">
        <v>30184</v>
      </c>
      <c r="I49" s="235">
        <v>1441.8139999999999</v>
      </c>
      <c r="J49" s="34">
        <f t="shared" si="4"/>
        <v>9.1525423308359564</v>
      </c>
      <c r="K49" s="55">
        <f t="shared" si="5"/>
        <v>1.2659118023286247</v>
      </c>
      <c r="L49" s="91">
        <f t="shared" si="6"/>
        <v>20.934739154981159</v>
      </c>
      <c r="M49" s="315"/>
    </row>
    <row r="50" spans="1:13" ht="15.75" x14ac:dyDescent="0.25">
      <c r="A50" s="137" t="s">
        <v>21</v>
      </c>
      <c r="B50" s="236">
        <v>364</v>
      </c>
      <c r="C50" s="137" t="s">
        <v>12</v>
      </c>
      <c r="D50" s="137" t="s">
        <v>7</v>
      </c>
      <c r="E50" s="237">
        <v>93536.283924821211</v>
      </c>
      <c r="F50" s="237">
        <v>26357.37</v>
      </c>
      <c r="G50" s="140">
        <f t="shared" si="3"/>
        <v>67178.913924821216</v>
      </c>
      <c r="H50" s="138">
        <v>11962</v>
      </c>
      <c r="I50" s="235">
        <v>1175.6599999999999</v>
      </c>
      <c r="J50" s="34">
        <f t="shared" si="4"/>
        <v>5.6160269122906881</v>
      </c>
      <c r="K50" s="55">
        <f t="shared" si="5"/>
        <v>0.77676720778571062</v>
      </c>
      <c r="L50" s="91">
        <f t="shared" si="6"/>
        <v>10.174710375448685</v>
      </c>
      <c r="M50" s="315"/>
    </row>
    <row r="51" spans="1:13" ht="15.75" x14ac:dyDescent="0.25">
      <c r="A51" s="137" t="s">
        <v>21</v>
      </c>
      <c r="B51" s="236">
        <v>417</v>
      </c>
      <c r="C51" s="137" t="s">
        <v>12</v>
      </c>
      <c r="D51" s="137" t="s">
        <v>7</v>
      </c>
      <c r="E51" s="237">
        <v>53156.818589019342</v>
      </c>
      <c r="F51" s="237">
        <v>6116.5890000000036</v>
      </c>
      <c r="G51" s="140">
        <f t="shared" si="3"/>
        <v>47040.229589019335</v>
      </c>
      <c r="H51" s="138">
        <v>2898</v>
      </c>
      <c r="I51" s="235">
        <v>607</v>
      </c>
      <c r="J51" s="34">
        <f t="shared" si="4"/>
        <v>16.231963281235107</v>
      </c>
      <c r="K51" s="55">
        <f t="shared" si="5"/>
        <v>2.2450848245138459</v>
      </c>
      <c r="L51" s="91">
        <f t="shared" si="6"/>
        <v>4.7742998352553538</v>
      </c>
      <c r="M51" s="315"/>
    </row>
    <row r="52" spans="1:13" ht="15.75" x14ac:dyDescent="0.25">
      <c r="A52" s="137" t="s">
        <v>21</v>
      </c>
      <c r="B52" s="236">
        <v>670</v>
      </c>
      <c r="C52" s="137" t="s">
        <v>12</v>
      </c>
      <c r="D52" s="137" t="s">
        <v>7</v>
      </c>
      <c r="E52" s="237">
        <v>305742.66606030514</v>
      </c>
      <c r="F52" s="237">
        <v>94825.319000000018</v>
      </c>
      <c r="G52" s="140">
        <f t="shared" si="3"/>
        <v>210917.34706030512</v>
      </c>
      <c r="H52" s="138">
        <v>35150</v>
      </c>
      <c r="I52" s="235">
        <v>1796.3</v>
      </c>
      <c r="J52" s="34">
        <f t="shared" si="4"/>
        <v>6.0004935152291639</v>
      </c>
      <c r="K52" s="55">
        <f t="shared" si="5"/>
        <v>0.82994377803999497</v>
      </c>
      <c r="L52" s="91">
        <f t="shared" si="6"/>
        <v>19.568000890719812</v>
      </c>
      <c r="M52" s="315"/>
    </row>
    <row r="53" spans="1:13" ht="15.75" x14ac:dyDescent="0.25">
      <c r="A53" s="137" t="s">
        <v>21</v>
      </c>
      <c r="B53" s="236">
        <v>671</v>
      </c>
      <c r="C53" s="137" t="s">
        <v>12</v>
      </c>
      <c r="D53" s="137" t="s">
        <v>7</v>
      </c>
      <c r="E53" s="237">
        <v>303589.37263734522</v>
      </c>
      <c r="F53" s="237">
        <v>57612.778000000006</v>
      </c>
      <c r="G53" s="140">
        <f t="shared" si="3"/>
        <v>245976.59463734523</v>
      </c>
      <c r="H53" s="138">
        <v>21345</v>
      </c>
      <c r="I53" s="235">
        <v>1783.65</v>
      </c>
      <c r="J53" s="34">
        <f t="shared" si="4"/>
        <v>11.523850767736951</v>
      </c>
      <c r="K53" s="55">
        <f t="shared" si="5"/>
        <v>1.5938936054961204</v>
      </c>
      <c r="L53" s="91">
        <f t="shared" si="6"/>
        <v>11.967033891178202</v>
      </c>
      <c r="M53" s="315"/>
    </row>
    <row r="54" spans="1:13" ht="15.75" x14ac:dyDescent="0.25">
      <c r="A54" s="137" t="s">
        <v>21</v>
      </c>
      <c r="B54" s="236">
        <v>762</v>
      </c>
      <c r="C54" s="137" t="s">
        <v>12</v>
      </c>
      <c r="D54" s="137" t="s">
        <v>7</v>
      </c>
      <c r="E54" s="237">
        <v>5129.1618165289256</v>
      </c>
      <c r="F54" s="237">
        <v>2239.9619999999977</v>
      </c>
      <c r="G54" s="140">
        <f t="shared" si="3"/>
        <v>2889.1998165289278</v>
      </c>
      <c r="H54" s="138">
        <v>1382</v>
      </c>
      <c r="I54" s="235">
        <v>46.17</v>
      </c>
      <c r="J54" s="34">
        <f t="shared" si="4"/>
        <v>2.0905932102235369</v>
      </c>
      <c r="K54" s="55">
        <f t="shared" si="5"/>
        <v>0.28915535411113924</v>
      </c>
      <c r="L54" s="91">
        <f t="shared" si="6"/>
        <v>29.932856833441626</v>
      </c>
      <c r="M54" s="315"/>
    </row>
    <row r="55" spans="1:13" ht="15.75" x14ac:dyDescent="0.25">
      <c r="A55" s="137" t="s">
        <v>18</v>
      </c>
      <c r="B55" s="236">
        <v>53</v>
      </c>
      <c r="C55" s="137" t="s">
        <v>12</v>
      </c>
      <c r="D55" s="137" t="s">
        <v>7</v>
      </c>
      <c r="E55" s="237">
        <v>850877.04069158121</v>
      </c>
      <c r="F55" s="237">
        <v>246213.65911984246</v>
      </c>
      <c r="G55" s="140">
        <v>604663.38157173875</v>
      </c>
      <c r="H55" s="138">
        <v>181851.70098094665</v>
      </c>
      <c r="I55" s="235">
        <v>4114.4899999999861</v>
      </c>
      <c r="J55" s="34">
        <f t="shared" si="4"/>
        <v>3.3250356103905334</v>
      </c>
      <c r="K55" s="212">
        <v>0.28936455838522024</v>
      </c>
      <c r="L55" s="91">
        <f t="shared" si="6"/>
        <v>44.197871663546941</v>
      </c>
      <c r="M55" s="317"/>
    </row>
    <row r="56" spans="1:13" ht="15.75" x14ac:dyDescent="0.25">
      <c r="A56" s="137" t="s">
        <v>18</v>
      </c>
      <c r="B56" s="236">
        <v>94</v>
      </c>
      <c r="C56" s="137" t="s">
        <v>12</v>
      </c>
      <c r="D56" s="137" t="s">
        <v>7</v>
      </c>
      <c r="E56" s="237">
        <v>2621718.3416112987</v>
      </c>
      <c r="F56" s="237">
        <v>671619.38598318968</v>
      </c>
      <c r="G56" s="140">
        <v>1950098.9556281092</v>
      </c>
      <c r="H56" s="138">
        <v>505013.03186638199</v>
      </c>
      <c r="I56" s="235">
        <v>12453.349999999946</v>
      </c>
      <c r="J56" s="34">
        <f t="shared" si="4"/>
        <v>3.8614824421878935</v>
      </c>
      <c r="K56" s="212">
        <v>0.25617526311785832</v>
      </c>
      <c r="L56" s="91">
        <f t="shared" si="6"/>
        <v>40.552384046572541</v>
      </c>
      <c r="M56" s="317"/>
    </row>
    <row r="57" spans="1:13" ht="15.75" x14ac:dyDescent="0.25">
      <c r="A57" s="137" t="s">
        <v>18</v>
      </c>
      <c r="B57" s="236">
        <v>111</v>
      </c>
      <c r="C57" s="137" t="s">
        <v>12</v>
      </c>
      <c r="D57" s="137" t="s">
        <v>7</v>
      </c>
      <c r="E57" s="237">
        <v>133959.62362965973</v>
      </c>
      <c r="F57" s="237">
        <v>29394.357841237565</v>
      </c>
      <c r="G57" s="140">
        <v>104565.26578842217</v>
      </c>
      <c r="H57" s="138">
        <v>16795.630417551667</v>
      </c>
      <c r="I57" s="235">
        <v>554.56000000000063</v>
      </c>
      <c r="J57" s="34">
        <f t="shared" si="4"/>
        <v>6.2257422430032765</v>
      </c>
      <c r="K57" s="212">
        <v>0.21942699632017643</v>
      </c>
      <c r="L57" s="91">
        <f t="shared" si="6"/>
        <v>30.286407994719504</v>
      </c>
      <c r="M57" s="317"/>
    </row>
    <row r="58" spans="1:13" ht="15.75" x14ac:dyDescent="0.25">
      <c r="A58" s="137" t="s">
        <v>18</v>
      </c>
      <c r="B58" s="236">
        <v>113</v>
      </c>
      <c r="C58" s="137" t="s">
        <v>12</v>
      </c>
      <c r="D58" s="137" t="s">
        <v>7</v>
      </c>
      <c r="E58" s="237">
        <v>478295.60635169246</v>
      </c>
      <c r="F58" s="237">
        <v>127869.99676410937</v>
      </c>
      <c r="G58" s="140">
        <v>350425.60958758311</v>
      </c>
      <c r="H58" s="138">
        <v>89183.220852288621</v>
      </c>
      <c r="I58" s="235">
        <v>1778.4800000000073</v>
      </c>
      <c r="J58" s="34">
        <f t="shared" si="4"/>
        <v>3.9292773487961608</v>
      </c>
      <c r="K58" s="212">
        <v>0.2673451210214256</v>
      </c>
      <c r="L58" s="91">
        <f t="shared" si="6"/>
        <v>50.145754156520319</v>
      </c>
      <c r="M58" s="317"/>
    </row>
    <row r="59" spans="1:13" ht="15.75" x14ac:dyDescent="0.25">
      <c r="A59" s="137" t="s">
        <v>18</v>
      </c>
      <c r="B59" s="236">
        <v>114</v>
      </c>
      <c r="C59" s="137" t="s">
        <v>12</v>
      </c>
      <c r="D59" s="137" t="s">
        <v>7</v>
      </c>
      <c r="E59" s="237">
        <v>640337.03949879156</v>
      </c>
      <c r="F59" s="237">
        <v>156447.87799978195</v>
      </c>
      <c r="G59" s="140">
        <v>483889.16149900958</v>
      </c>
      <c r="H59" s="138">
        <v>111062.55832742556</v>
      </c>
      <c r="I59" s="235">
        <v>1952.139999999999</v>
      </c>
      <c r="J59" s="34">
        <f t="shared" si="4"/>
        <v>4.3569063128588041</v>
      </c>
      <c r="K59" s="212">
        <v>0.24432114394356724</v>
      </c>
      <c r="L59" s="91">
        <f t="shared" si="6"/>
        <v>56.892722001201562</v>
      </c>
      <c r="M59" s="317"/>
    </row>
    <row r="60" spans="1:13" ht="15.75" x14ac:dyDescent="0.25">
      <c r="A60" s="137" t="s">
        <v>18</v>
      </c>
      <c r="B60" s="236">
        <v>115</v>
      </c>
      <c r="C60" s="137" t="s">
        <v>12</v>
      </c>
      <c r="D60" s="137" t="s">
        <v>7</v>
      </c>
      <c r="E60" s="237">
        <v>85855.721826147623</v>
      </c>
      <c r="F60" s="237">
        <v>10092.509800885704</v>
      </c>
      <c r="G60" s="140">
        <v>75763.212025261921</v>
      </c>
      <c r="H60" s="138">
        <v>11474.386343809076</v>
      </c>
      <c r="I60" s="235">
        <v>342.52999999999867</v>
      </c>
      <c r="J60" s="34">
        <f t="shared" si="4"/>
        <v>6.6028116672347732</v>
      </c>
      <c r="K60" s="212">
        <v>0.11755197657440228</v>
      </c>
      <c r="L60" s="91">
        <f t="shared" si="6"/>
        <v>33.498923725831666</v>
      </c>
      <c r="M60" s="317"/>
    </row>
    <row r="61" spans="1:13" ht="15.75" x14ac:dyDescent="0.25">
      <c r="A61" s="137" t="s">
        <v>18</v>
      </c>
      <c r="B61" s="236">
        <v>118</v>
      </c>
      <c r="C61" s="137" t="s">
        <v>12</v>
      </c>
      <c r="D61" s="137" t="s">
        <v>7</v>
      </c>
      <c r="E61" s="237">
        <v>118842.66892493381</v>
      </c>
      <c r="F61" s="237">
        <v>26235.781906010194</v>
      </c>
      <c r="G61" s="140">
        <v>92606.887018923619</v>
      </c>
      <c r="H61" s="138">
        <v>15857.929707480849</v>
      </c>
      <c r="I61" s="235">
        <v>503.09999999999786</v>
      </c>
      <c r="J61" s="34">
        <f t="shared" si="4"/>
        <v>5.8397841790935088</v>
      </c>
      <c r="K61" s="212">
        <v>0.22076062531532217</v>
      </c>
      <c r="L61" s="91">
        <f t="shared" si="6"/>
        <v>31.520432732023288</v>
      </c>
      <c r="M61" s="317"/>
    </row>
    <row r="62" spans="1:13" ht="15.75" x14ac:dyDescent="0.25">
      <c r="A62" s="137" t="s">
        <v>18</v>
      </c>
      <c r="B62" s="236">
        <v>133</v>
      </c>
      <c r="C62" s="137" t="s">
        <v>12</v>
      </c>
      <c r="D62" s="137" t="s">
        <v>7</v>
      </c>
      <c r="E62" s="237">
        <v>571607.35732448078</v>
      </c>
      <c r="F62" s="237">
        <v>124131.65472930628</v>
      </c>
      <c r="G62" s="140">
        <v>447475.70259517449</v>
      </c>
      <c r="H62" s="138">
        <v>67689.751368464014</v>
      </c>
      <c r="I62" s="235">
        <v>2174.4900000000016</v>
      </c>
      <c r="J62" s="34">
        <f t="shared" si="4"/>
        <v>6.6106861607361287</v>
      </c>
      <c r="K62" s="212">
        <v>0.21716245100540446</v>
      </c>
      <c r="L62" s="91">
        <f t="shared" si="6"/>
        <v>31.1290239865274</v>
      </c>
      <c r="M62" s="317"/>
    </row>
    <row r="63" spans="1:13" ht="15.75" x14ac:dyDescent="0.25">
      <c r="A63" s="137" t="s">
        <v>18</v>
      </c>
      <c r="B63" s="236">
        <v>134</v>
      </c>
      <c r="C63" s="137" t="s">
        <v>12</v>
      </c>
      <c r="D63" s="137" t="s">
        <v>7</v>
      </c>
      <c r="E63" s="237">
        <v>862524.50783876283</v>
      </c>
      <c r="F63" s="237">
        <v>265157.16324071208</v>
      </c>
      <c r="G63" s="140">
        <v>597367.34459805069</v>
      </c>
      <c r="H63" s="138">
        <v>133418.00711442367</v>
      </c>
      <c r="I63" s="235">
        <v>3411.5099999999975</v>
      </c>
      <c r="J63" s="34">
        <f t="shared" si="4"/>
        <v>4.4774116891562379</v>
      </c>
      <c r="K63" s="212">
        <v>0.30741985976157282</v>
      </c>
      <c r="L63" s="91">
        <f t="shared" si="6"/>
        <v>39.108197576563974</v>
      </c>
      <c r="M63" s="317"/>
    </row>
    <row r="64" spans="1:13" ht="15.75" x14ac:dyDescent="0.25">
      <c r="A64" s="137" t="s">
        <v>18</v>
      </c>
      <c r="B64" s="236">
        <v>135</v>
      </c>
      <c r="C64" s="137" t="s">
        <v>12</v>
      </c>
      <c r="D64" s="137" t="s">
        <v>7</v>
      </c>
      <c r="E64" s="237">
        <v>473489.47911681468</v>
      </c>
      <c r="F64" s="237">
        <v>144449.75203702497</v>
      </c>
      <c r="G64" s="140">
        <v>329039.72707978974</v>
      </c>
      <c r="H64" s="138">
        <v>70936.436349129566</v>
      </c>
      <c r="I64" s="235">
        <v>1730.9699999999957</v>
      </c>
      <c r="J64" s="34">
        <f t="shared" si="4"/>
        <v>4.6385150426833821</v>
      </c>
      <c r="K64" s="212">
        <v>0.30507489270186666</v>
      </c>
      <c r="L64" s="91">
        <f t="shared" si="6"/>
        <v>40.98074279111119</v>
      </c>
      <c r="M64" s="317"/>
    </row>
    <row r="65" spans="1:13" ht="15.75" x14ac:dyDescent="0.25">
      <c r="A65" s="137" t="s">
        <v>18</v>
      </c>
      <c r="B65" s="236">
        <v>146</v>
      </c>
      <c r="C65" s="137" t="s">
        <v>12</v>
      </c>
      <c r="D65" s="137" t="s">
        <v>7</v>
      </c>
      <c r="E65" s="237">
        <v>856960.67642465525</v>
      </c>
      <c r="F65" s="237">
        <v>201778.8472447235</v>
      </c>
      <c r="G65" s="140">
        <v>655181.82917993178</v>
      </c>
      <c r="H65" s="138">
        <v>94726.442748990448</v>
      </c>
      <c r="I65" s="235">
        <v>3318.5899999999901</v>
      </c>
      <c r="J65" s="34">
        <f t="shared" si="4"/>
        <v>6.916567435304799</v>
      </c>
      <c r="K65" s="212">
        <v>0.23545870049320061</v>
      </c>
      <c r="L65" s="91">
        <f t="shared" si="6"/>
        <v>28.544183749420906</v>
      </c>
      <c r="M65" s="317"/>
    </row>
    <row r="66" spans="1:13" ht="15.75" x14ac:dyDescent="0.25">
      <c r="A66" s="137" t="s">
        <v>18</v>
      </c>
      <c r="B66" s="236">
        <v>156</v>
      </c>
      <c r="C66" s="137" t="s">
        <v>12</v>
      </c>
      <c r="D66" s="137" t="s">
        <v>7</v>
      </c>
      <c r="E66" s="237">
        <v>955165.18868548679</v>
      </c>
      <c r="F66" s="237">
        <v>305983.74483223859</v>
      </c>
      <c r="G66" s="140">
        <v>649181.44385324814</v>
      </c>
      <c r="H66" s="138">
        <v>115334.07550007117</v>
      </c>
      <c r="I66" s="235">
        <v>4265.1499999999869</v>
      </c>
      <c r="J66" s="34">
        <f t="shared" si="4"/>
        <v>5.628704622103184</v>
      </c>
      <c r="K66" s="212">
        <v>0.32034641594647956</v>
      </c>
      <c r="L66" s="91">
        <f t="shared" si="6"/>
        <v>27.041036188661952</v>
      </c>
      <c r="M66" s="317"/>
    </row>
    <row r="67" spans="1:13" ht="15.75" x14ac:dyDescent="0.25">
      <c r="A67" s="137" t="s">
        <v>18</v>
      </c>
      <c r="B67" s="236">
        <v>250</v>
      </c>
      <c r="C67" s="137" t="s">
        <v>12</v>
      </c>
      <c r="D67" s="137" t="s">
        <v>7</v>
      </c>
      <c r="E67" s="237">
        <v>2730364.3199935695</v>
      </c>
      <c r="F67" s="237">
        <v>1178497.4210856643</v>
      </c>
      <c r="G67" s="140">
        <v>1551866.8989079052</v>
      </c>
      <c r="H67" s="138">
        <v>428363.25977491826</v>
      </c>
      <c r="I67" s="235">
        <v>10315.439999999955</v>
      </c>
      <c r="J67" s="34">
        <f t="shared" si="4"/>
        <v>3.6227824480636537</v>
      </c>
      <c r="K67" s="212">
        <v>0.43162643624365843</v>
      </c>
      <c r="L67" s="91">
        <f t="shared" si="6"/>
        <v>41.52641668944031</v>
      </c>
      <c r="M67" s="317"/>
    </row>
    <row r="68" spans="1:13" ht="15.75" x14ac:dyDescent="0.25">
      <c r="A68" s="137" t="s">
        <v>18</v>
      </c>
      <c r="B68" s="236">
        <v>252</v>
      </c>
      <c r="C68" s="137" t="s">
        <v>12</v>
      </c>
      <c r="D68" s="137" t="s">
        <v>7</v>
      </c>
      <c r="E68" s="237">
        <v>134578.43829509523</v>
      </c>
      <c r="F68" s="237">
        <v>42927.833688856423</v>
      </c>
      <c r="G68" s="140">
        <v>91650.604606238805</v>
      </c>
      <c r="H68" s="138">
        <v>20052.68819368261</v>
      </c>
      <c r="I68" s="235">
        <v>506.15000000000026</v>
      </c>
      <c r="J68" s="34">
        <f t="shared" si="4"/>
        <v>4.570489688016611</v>
      </c>
      <c r="K68" s="212">
        <v>0.31898002557235017</v>
      </c>
      <c r="L68" s="91">
        <f t="shared" ref="L68:L101" si="7">+H68/I68</f>
        <v>39.6180740762276</v>
      </c>
      <c r="M68" s="317"/>
    </row>
    <row r="69" spans="1:13" ht="15.75" x14ac:dyDescent="0.25">
      <c r="A69" s="137" t="s">
        <v>18</v>
      </c>
      <c r="B69" s="236">
        <v>261</v>
      </c>
      <c r="C69" s="137" t="s">
        <v>12</v>
      </c>
      <c r="D69" s="137" t="s">
        <v>7</v>
      </c>
      <c r="E69" s="237">
        <v>637625.25612048525</v>
      </c>
      <c r="F69" s="237">
        <v>264603.74925871426</v>
      </c>
      <c r="G69" s="140">
        <v>373021.50686177099</v>
      </c>
      <c r="H69" s="138">
        <v>92623.87710815687</v>
      </c>
      <c r="I69" s="235">
        <v>2277</v>
      </c>
      <c r="J69" s="34">
        <f t="shared" si="4"/>
        <v>4.0272715687143386</v>
      </c>
      <c r="K69" s="212">
        <v>0.4149831687481258</v>
      </c>
      <c r="L69" s="91">
        <f t="shared" si="7"/>
        <v>40.67803122887873</v>
      </c>
      <c r="M69" s="317"/>
    </row>
    <row r="70" spans="1:13" ht="15.75" x14ac:dyDescent="0.25">
      <c r="A70" s="137" t="s">
        <v>18</v>
      </c>
      <c r="B70" s="236">
        <v>263</v>
      </c>
      <c r="C70" s="137" t="s">
        <v>12</v>
      </c>
      <c r="D70" s="137" t="s">
        <v>7</v>
      </c>
      <c r="E70" s="237">
        <v>494562.18119042413</v>
      </c>
      <c r="F70" s="237">
        <v>211374.15961358708</v>
      </c>
      <c r="G70" s="140">
        <v>283188.02157683705</v>
      </c>
      <c r="H70" s="138">
        <v>74728.730371274389</v>
      </c>
      <c r="I70" s="235">
        <v>1666.440000000001</v>
      </c>
      <c r="J70" s="34">
        <f t="shared" si="4"/>
        <v>3.7895468070964857</v>
      </c>
      <c r="K70" s="212">
        <v>0.42739652899622033</v>
      </c>
      <c r="L70" s="91">
        <f t="shared" si="7"/>
        <v>44.843336916585265</v>
      </c>
      <c r="M70" s="317"/>
    </row>
    <row r="71" spans="1:13" ht="15.75" x14ac:dyDescent="0.25">
      <c r="A71" s="137" t="s">
        <v>18</v>
      </c>
      <c r="B71" s="236">
        <v>264</v>
      </c>
      <c r="C71" s="137" t="s">
        <v>12</v>
      </c>
      <c r="D71" s="137" t="s">
        <v>7</v>
      </c>
      <c r="E71" s="237">
        <v>964070.6192929449</v>
      </c>
      <c r="F71" s="237">
        <v>362344.33874125831</v>
      </c>
      <c r="G71" s="140">
        <v>601726.28055168665</v>
      </c>
      <c r="H71" s="138">
        <v>142055.4338984499</v>
      </c>
      <c r="I71" s="235">
        <v>3761.5700000000165</v>
      </c>
      <c r="J71" s="34">
        <f t="shared" si="4"/>
        <v>4.2358554265642399</v>
      </c>
      <c r="K71" s="212">
        <v>0.37584833671936169</v>
      </c>
      <c r="L71" s="91">
        <f t="shared" si="7"/>
        <v>37.764931637175245</v>
      </c>
      <c r="M71" s="317"/>
    </row>
    <row r="72" spans="1:13" ht="15.75" x14ac:dyDescent="0.25">
      <c r="A72" s="137" t="s">
        <v>18</v>
      </c>
      <c r="B72" s="236">
        <v>265</v>
      </c>
      <c r="C72" s="137" t="s">
        <v>12</v>
      </c>
      <c r="D72" s="137" t="s">
        <v>7</v>
      </c>
      <c r="E72" s="237">
        <v>396609.32022687444</v>
      </c>
      <c r="F72" s="237">
        <v>129715.88406118518</v>
      </c>
      <c r="G72" s="140">
        <v>266893.43616568926</v>
      </c>
      <c r="H72" s="138">
        <v>50090.229302344989</v>
      </c>
      <c r="I72" s="235">
        <v>1839.3099999999963</v>
      </c>
      <c r="J72" s="34">
        <f t="shared" si="4"/>
        <v>5.3282534315169237</v>
      </c>
      <c r="K72" s="212">
        <v>0.32706211741817653</v>
      </c>
      <c r="L72" s="91">
        <f t="shared" si="7"/>
        <v>27.233163143975236</v>
      </c>
      <c r="M72" s="317"/>
    </row>
    <row r="73" spans="1:13" ht="15.75" x14ac:dyDescent="0.25">
      <c r="A73" s="137" t="s">
        <v>18</v>
      </c>
      <c r="B73" s="236">
        <v>270</v>
      </c>
      <c r="C73" s="137" t="s">
        <v>12</v>
      </c>
      <c r="D73" s="137" t="s">
        <v>7</v>
      </c>
      <c r="E73" s="237">
        <v>2062861.3166821783</v>
      </c>
      <c r="F73" s="237">
        <v>963317.9513013782</v>
      </c>
      <c r="G73" s="140">
        <v>1099543.3653808001</v>
      </c>
      <c r="H73" s="138">
        <v>340371.87312160246</v>
      </c>
      <c r="I73" s="235">
        <v>7490.4800000000196</v>
      </c>
      <c r="J73" s="34">
        <f t="shared" si="4"/>
        <v>3.230417823002588</v>
      </c>
      <c r="K73" s="212">
        <v>0.46698144151092974</v>
      </c>
      <c r="L73" s="91">
        <f t="shared" si="7"/>
        <v>45.440595678995415</v>
      </c>
      <c r="M73" s="317"/>
    </row>
    <row r="74" spans="1:13" ht="15.75" x14ac:dyDescent="0.25">
      <c r="A74" s="137" t="s">
        <v>18</v>
      </c>
      <c r="B74" s="236">
        <v>272</v>
      </c>
      <c r="C74" s="137" t="s">
        <v>12</v>
      </c>
      <c r="D74" s="137" t="s">
        <v>7</v>
      </c>
      <c r="E74" s="237">
        <v>165546.67444086209</v>
      </c>
      <c r="F74" s="237">
        <v>24021.911336557943</v>
      </c>
      <c r="G74" s="140">
        <v>141524.76310430415</v>
      </c>
      <c r="H74" s="138">
        <v>10466.150624573638</v>
      </c>
      <c r="I74" s="235">
        <v>648.15000000000077</v>
      </c>
      <c r="J74" s="34">
        <f t="shared" si="4"/>
        <v>13.522140869252919</v>
      </c>
      <c r="K74" s="212">
        <v>0.14510657745129904</v>
      </c>
      <c r="L74" s="91">
        <f t="shared" si="7"/>
        <v>16.14772911297327</v>
      </c>
      <c r="M74" s="317"/>
    </row>
    <row r="75" spans="1:13" ht="15.75" x14ac:dyDescent="0.25">
      <c r="A75" s="137" t="s">
        <v>18</v>
      </c>
      <c r="B75" s="236">
        <v>275</v>
      </c>
      <c r="C75" s="137" t="s">
        <v>12</v>
      </c>
      <c r="D75" s="137" t="s">
        <v>7</v>
      </c>
      <c r="E75" s="237">
        <v>704732.26872765506</v>
      </c>
      <c r="F75" s="237">
        <v>273857.10851058754</v>
      </c>
      <c r="G75" s="140">
        <v>430875.16021706752</v>
      </c>
      <c r="H75" s="138">
        <v>103058.90934633436</v>
      </c>
      <c r="I75" s="235">
        <v>2765.2899999999931</v>
      </c>
      <c r="J75" s="34">
        <f t="shared" si="4"/>
        <v>4.1808627992470893</v>
      </c>
      <c r="K75" s="212">
        <v>0.38859737330464156</v>
      </c>
      <c r="L75" s="91">
        <f t="shared" si="7"/>
        <v>37.268752769631618</v>
      </c>
      <c r="M75" s="317"/>
    </row>
    <row r="76" spans="1:13" ht="15.75" x14ac:dyDescent="0.25">
      <c r="A76" s="137" t="s">
        <v>18</v>
      </c>
      <c r="B76" s="236">
        <v>288</v>
      </c>
      <c r="C76" s="137" t="s">
        <v>12</v>
      </c>
      <c r="D76" s="137" t="s">
        <v>7</v>
      </c>
      <c r="E76" s="237">
        <v>1134765.8317502292</v>
      </c>
      <c r="F76" s="237">
        <v>396927.03925204166</v>
      </c>
      <c r="G76" s="140">
        <v>737838.79249818763</v>
      </c>
      <c r="H76" s="138">
        <v>139538.99371854746</v>
      </c>
      <c r="I76" s="235">
        <v>4260.520000000015</v>
      </c>
      <c r="J76" s="34">
        <f t="shared" si="4"/>
        <v>5.287688930783184</v>
      </c>
      <c r="K76" s="212">
        <v>0.34978761974162825</v>
      </c>
      <c r="L76" s="91">
        <f t="shared" si="7"/>
        <v>32.751634476201723</v>
      </c>
      <c r="M76" s="317"/>
    </row>
    <row r="77" spans="1:13" ht="15.75" x14ac:dyDescent="0.25">
      <c r="A77" s="137" t="s">
        <v>18</v>
      </c>
      <c r="B77" s="236">
        <v>294</v>
      </c>
      <c r="C77" s="137" t="s">
        <v>12</v>
      </c>
      <c r="D77" s="137" t="s">
        <v>7</v>
      </c>
      <c r="E77" s="237">
        <v>794054.72782393638</v>
      </c>
      <c r="F77" s="237">
        <v>164547.83209057816</v>
      </c>
      <c r="G77" s="140">
        <v>629506.89573335822</v>
      </c>
      <c r="H77" s="138">
        <v>70717.570364809944</v>
      </c>
      <c r="I77" s="235">
        <v>4143.6799999999985</v>
      </c>
      <c r="J77" s="34">
        <f t="shared" si="4"/>
        <v>8.9017042368102857</v>
      </c>
      <c r="K77" s="212">
        <v>0.20722479990958872</v>
      </c>
      <c r="L77" s="91">
        <f t="shared" si="7"/>
        <v>17.066368630012445</v>
      </c>
      <c r="M77" s="317"/>
    </row>
    <row r="78" spans="1:13" ht="15.75" x14ac:dyDescent="0.25">
      <c r="A78" s="137" t="s">
        <v>18</v>
      </c>
      <c r="B78" s="236">
        <v>351</v>
      </c>
      <c r="C78" s="137" t="s">
        <v>12</v>
      </c>
      <c r="D78" s="137" t="s">
        <v>7</v>
      </c>
      <c r="E78" s="237">
        <v>430619.37423918245</v>
      </c>
      <c r="F78" s="237">
        <v>186519.52721542286</v>
      </c>
      <c r="G78" s="140">
        <v>244099.84702375959</v>
      </c>
      <c r="H78" s="138">
        <v>73320.104747075078</v>
      </c>
      <c r="I78" s="235">
        <v>1769.7200000000003</v>
      </c>
      <c r="J78" s="34">
        <f t="shared" si="4"/>
        <v>3.3292348376452279</v>
      </c>
      <c r="K78" s="212">
        <v>0.43314244173283012</v>
      </c>
      <c r="L78" s="91">
        <f t="shared" si="7"/>
        <v>41.430341945095876</v>
      </c>
      <c r="M78" s="317"/>
    </row>
    <row r="79" spans="1:13" ht="15.75" x14ac:dyDescent="0.25">
      <c r="A79" s="137" t="s">
        <v>18</v>
      </c>
      <c r="B79" s="236">
        <v>353</v>
      </c>
      <c r="C79" s="137" t="s">
        <v>12</v>
      </c>
      <c r="D79" s="137" t="s">
        <v>7</v>
      </c>
      <c r="E79" s="237">
        <v>63219.481364536485</v>
      </c>
      <c r="F79" s="237">
        <v>15755.854024078901</v>
      </c>
      <c r="G79" s="140">
        <v>47463.627340457584</v>
      </c>
      <c r="H79" s="138">
        <v>8122.9361289431272</v>
      </c>
      <c r="I79" s="235">
        <v>201.7199999999996</v>
      </c>
      <c r="J79" s="34">
        <f t="shared" si="4"/>
        <v>5.8431614612034455</v>
      </c>
      <c r="K79" s="212">
        <v>0.24922466435982632</v>
      </c>
      <c r="L79" s="91">
        <f t="shared" si="7"/>
        <v>40.268372640011613</v>
      </c>
      <c r="M79" s="317"/>
    </row>
    <row r="80" spans="1:13" ht="15.75" x14ac:dyDescent="0.25">
      <c r="A80" s="137" t="s">
        <v>18</v>
      </c>
      <c r="B80" s="236">
        <v>355</v>
      </c>
      <c r="C80" s="137" t="s">
        <v>12</v>
      </c>
      <c r="D80" s="137" t="s">
        <v>7</v>
      </c>
      <c r="E80" s="237">
        <v>1379128.867411989</v>
      </c>
      <c r="F80" s="237">
        <v>707597.71454402036</v>
      </c>
      <c r="G80" s="140">
        <v>671531.15286796866</v>
      </c>
      <c r="H80" s="138">
        <v>249820.48054742953</v>
      </c>
      <c r="I80" s="235">
        <v>5349.439999999985</v>
      </c>
      <c r="J80" s="34">
        <f t="shared" si="4"/>
        <v>2.6880548440081777</v>
      </c>
      <c r="K80" s="212">
        <v>0.51307584901175063</v>
      </c>
      <c r="L80" s="91">
        <f t="shared" ref="L80:L83" si="8">+H80/I80</f>
        <v>46.700305180996558</v>
      </c>
      <c r="M80" s="317"/>
    </row>
    <row r="81" spans="1:13" ht="15.75" x14ac:dyDescent="0.25">
      <c r="A81" s="137" t="s">
        <v>18</v>
      </c>
      <c r="B81" s="236">
        <v>361</v>
      </c>
      <c r="C81" s="137" t="s">
        <v>12</v>
      </c>
      <c r="D81" s="137" t="s">
        <v>7</v>
      </c>
      <c r="E81" s="237">
        <v>461778.7553593833</v>
      </c>
      <c r="F81" s="237">
        <v>134184.45585986896</v>
      </c>
      <c r="G81" s="140">
        <v>327594.29949951434</v>
      </c>
      <c r="H81" s="138">
        <v>51104.68869885966</v>
      </c>
      <c r="I81" s="235">
        <v>1641.6900000000014</v>
      </c>
      <c r="J81" s="34">
        <f t="shared" si="4"/>
        <v>6.410259172693566</v>
      </c>
      <c r="K81" s="212">
        <v>0.2905817002244695</v>
      </c>
      <c r="L81" s="91">
        <f t="shared" si="8"/>
        <v>31.129317166371006</v>
      </c>
      <c r="M81" s="317"/>
    </row>
    <row r="82" spans="1:13" s="139" customFormat="1" ht="15.75" x14ac:dyDescent="0.25">
      <c r="A82" s="137" t="s">
        <v>18</v>
      </c>
      <c r="B82" s="236">
        <v>365</v>
      </c>
      <c r="C82" s="137" t="s">
        <v>12</v>
      </c>
      <c r="D82" s="137" t="s">
        <v>7</v>
      </c>
      <c r="E82" s="237">
        <v>1222622.3876612778</v>
      </c>
      <c r="F82" s="237">
        <v>469615.12617848028</v>
      </c>
      <c r="G82" s="140">
        <v>753007.26148279756</v>
      </c>
      <c r="H82" s="138">
        <v>162455.61074022294</v>
      </c>
      <c r="I82" s="235">
        <v>4171.1500000000133</v>
      </c>
      <c r="J82" s="34">
        <f t="shared" si="4"/>
        <v>4.6351570010524599</v>
      </c>
      <c r="K82" s="212">
        <v>0.38410479876521375</v>
      </c>
      <c r="L82" s="91">
        <f t="shared" si="8"/>
        <v>38.947439133146119</v>
      </c>
      <c r="M82" s="318"/>
    </row>
    <row r="83" spans="1:13" ht="15.75" x14ac:dyDescent="0.25">
      <c r="A83" s="137" t="s">
        <v>18</v>
      </c>
      <c r="B83" s="236">
        <v>375</v>
      </c>
      <c r="C83" s="137" t="s">
        <v>12</v>
      </c>
      <c r="D83" s="137" t="s">
        <v>7</v>
      </c>
      <c r="E83" s="237">
        <v>948039.19402706984</v>
      </c>
      <c r="F83" s="237">
        <v>490558.41552410985</v>
      </c>
      <c r="G83" s="140">
        <v>457480.77850295999</v>
      </c>
      <c r="H83" s="138">
        <v>168915.78775606482</v>
      </c>
      <c r="I83" s="235">
        <v>3340.9400000000151</v>
      </c>
      <c r="J83" s="34">
        <f t="shared" si="4"/>
        <v>2.7083364117723474</v>
      </c>
      <c r="K83" s="212">
        <v>0.51744528983060445</v>
      </c>
      <c r="L83" s="91">
        <f t="shared" si="8"/>
        <v>50.559359867601351</v>
      </c>
      <c r="M83" s="317"/>
    </row>
    <row r="84" spans="1:13" ht="15.75" x14ac:dyDescent="0.25">
      <c r="A84" s="137" t="s">
        <v>18</v>
      </c>
      <c r="B84" s="236">
        <v>452</v>
      </c>
      <c r="C84" s="137" t="s">
        <v>12</v>
      </c>
      <c r="D84" s="137" t="s">
        <v>7</v>
      </c>
      <c r="E84" s="237">
        <v>269926.95706273185</v>
      </c>
      <c r="F84" s="237">
        <v>86741.814650299129</v>
      </c>
      <c r="G84" s="140">
        <v>183185.1424124327</v>
      </c>
      <c r="H84" s="138">
        <v>31286.425682694753</v>
      </c>
      <c r="I84" s="235">
        <v>1295.3599999999949</v>
      </c>
      <c r="J84" s="34">
        <f t="shared" si="4"/>
        <v>5.8550997250464647</v>
      </c>
      <c r="K84" s="212">
        <v>0.32135291559686668</v>
      </c>
      <c r="L84" s="91">
        <f t="shared" si="7"/>
        <v>24.152687810874873</v>
      </c>
      <c r="M84" s="317"/>
    </row>
    <row r="85" spans="1:13" ht="15.75" x14ac:dyDescent="0.25">
      <c r="A85" s="137" t="s">
        <v>18</v>
      </c>
      <c r="B85" s="236">
        <v>467</v>
      </c>
      <c r="C85" s="137" t="s">
        <v>12</v>
      </c>
      <c r="D85" s="137" t="s">
        <v>7</v>
      </c>
      <c r="E85" s="237">
        <v>1760798.6264715514</v>
      </c>
      <c r="F85" s="237">
        <v>846560.0990867503</v>
      </c>
      <c r="G85" s="140">
        <v>914238.52738480107</v>
      </c>
      <c r="H85" s="138">
        <v>290882.22867670329</v>
      </c>
      <c r="I85" s="235">
        <v>5792.1599999999808</v>
      </c>
      <c r="J85" s="34">
        <f t="shared" si="4"/>
        <v>3.1429851577523418</v>
      </c>
      <c r="K85" s="212">
        <v>0.48078189428348461</v>
      </c>
      <c r="L85" s="91">
        <f t="shared" si="7"/>
        <v>50.219991967884908</v>
      </c>
      <c r="M85" s="317"/>
    </row>
    <row r="86" spans="1:13" ht="15.75" x14ac:dyDescent="0.25">
      <c r="A86" s="137" t="s">
        <v>18</v>
      </c>
      <c r="B86" s="236">
        <v>535</v>
      </c>
      <c r="C86" s="137" t="s">
        <v>12</v>
      </c>
      <c r="D86" s="137" t="s">
        <v>7</v>
      </c>
      <c r="E86" s="237">
        <v>3715265.6160687543</v>
      </c>
      <c r="F86" s="237">
        <v>576140.50284665648</v>
      </c>
      <c r="G86" s="140">
        <v>3139125.113222098</v>
      </c>
      <c r="H86" s="138">
        <v>366046.61645752384</v>
      </c>
      <c r="I86" s="235">
        <v>18712.449999999943</v>
      </c>
      <c r="J86" s="34">
        <f t="shared" si="4"/>
        <v>8.5757523006263412</v>
      </c>
      <c r="K86" s="212">
        <v>0.15507383923098608</v>
      </c>
      <c r="L86" s="91">
        <f t="shared" si="7"/>
        <v>19.561661698896987</v>
      </c>
      <c r="M86" s="317"/>
    </row>
    <row r="87" spans="1:13" s="139" customFormat="1" ht="15.75" x14ac:dyDescent="0.25">
      <c r="A87" s="137" t="s">
        <v>18</v>
      </c>
      <c r="B87" s="236">
        <v>552</v>
      </c>
      <c r="C87" s="137" t="s">
        <v>12</v>
      </c>
      <c r="D87" s="137" t="s">
        <v>7</v>
      </c>
      <c r="E87" s="237">
        <v>553702.9863378976</v>
      </c>
      <c r="F87" s="237">
        <v>120431.07983524525</v>
      </c>
      <c r="G87" s="140">
        <v>433271.90650265233</v>
      </c>
      <c r="H87" s="138">
        <v>44282.501121275833</v>
      </c>
      <c r="I87" s="235">
        <v>2205.3700000000035</v>
      </c>
      <c r="J87" s="34">
        <f t="shared" si="4"/>
        <v>9.7842690799252043</v>
      </c>
      <c r="K87" s="212">
        <v>0.21750122864923851</v>
      </c>
      <c r="L87" s="91">
        <f t="shared" si="7"/>
        <v>20.079397616398047</v>
      </c>
      <c r="M87" s="317"/>
    </row>
    <row r="88" spans="1:13" ht="15.75" x14ac:dyDescent="0.25">
      <c r="A88" s="137" t="s">
        <v>18</v>
      </c>
      <c r="B88" s="236">
        <v>553</v>
      </c>
      <c r="C88" s="137" t="s">
        <v>12</v>
      </c>
      <c r="D88" s="137" t="s">
        <v>7</v>
      </c>
      <c r="E88" s="237">
        <v>632703.61681472824</v>
      </c>
      <c r="F88" s="237">
        <v>138897.5042828657</v>
      </c>
      <c r="G88" s="140">
        <v>493806.11253186257</v>
      </c>
      <c r="H88" s="138">
        <v>53221.776253344768</v>
      </c>
      <c r="I88" s="235">
        <v>2460.9599999999991</v>
      </c>
      <c r="J88" s="34">
        <f t="shared" si="4"/>
        <v>9.2782719272889533</v>
      </c>
      <c r="K88" s="212">
        <v>0.21953012530911203</v>
      </c>
      <c r="L88" s="91">
        <f t="shared" si="7"/>
        <v>21.626428813692538</v>
      </c>
      <c r="M88" s="317"/>
    </row>
    <row r="89" spans="1:13" ht="15.75" x14ac:dyDescent="0.25">
      <c r="A89" s="137" t="s">
        <v>18</v>
      </c>
      <c r="B89" s="236">
        <v>554</v>
      </c>
      <c r="C89" s="137" t="s">
        <v>12</v>
      </c>
      <c r="D89" s="137" t="s">
        <v>7</v>
      </c>
      <c r="E89" s="237">
        <v>686044.06583151687</v>
      </c>
      <c r="F89" s="237">
        <v>165914.65915910376</v>
      </c>
      <c r="G89" s="140">
        <v>520129.40667241311</v>
      </c>
      <c r="H89" s="138">
        <v>74726.655812181314</v>
      </c>
      <c r="I89" s="235">
        <v>3117.9599999999846</v>
      </c>
      <c r="J89" s="34">
        <f t="shared" si="4"/>
        <v>6.9604266512302022</v>
      </c>
      <c r="K89" s="212">
        <v>0.24184256875395838</v>
      </c>
      <c r="L89" s="91">
        <f t="shared" si="7"/>
        <v>23.966521639848388</v>
      </c>
      <c r="M89" s="317"/>
    </row>
    <row r="90" spans="1:13" ht="15.75" x14ac:dyDescent="0.25">
      <c r="A90" s="137" t="s">
        <v>18</v>
      </c>
      <c r="B90" s="236">
        <v>558</v>
      </c>
      <c r="C90" s="137" t="s">
        <v>12</v>
      </c>
      <c r="D90" s="137" t="s">
        <v>7</v>
      </c>
      <c r="E90" s="237">
        <v>569701.40815493907</v>
      </c>
      <c r="F90" s="237">
        <v>96851.964076723874</v>
      </c>
      <c r="G90" s="140">
        <v>472849.44407821517</v>
      </c>
      <c r="H90" s="138">
        <v>38029.780014741649</v>
      </c>
      <c r="I90" s="235">
        <v>2360.4999999999955</v>
      </c>
      <c r="J90" s="34">
        <f t="shared" si="4"/>
        <v>12.433662353422042</v>
      </c>
      <c r="K90" s="212">
        <v>0.17000478266394506</v>
      </c>
      <c r="L90" s="91">
        <f t="shared" si="7"/>
        <v>16.110900239246654</v>
      </c>
      <c r="M90" s="317"/>
    </row>
    <row r="91" spans="1:13" ht="15.75" x14ac:dyDescent="0.25">
      <c r="A91" s="137" t="s">
        <v>18</v>
      </c>
      <c r="B91" s="236">
        <v>578</v>
      </c>
      <c r="C91" s="137" t="s">
        <v>12</v>
      </c>
      <c r="D91" s="137" t="s">
        <v>7</v>
      </c>
      <c r="E91" s="237">
        <v>843463.6409996727</v>
      </c>
      <c r="F91" s="237">
        <v>263110.16665091686</v>
      </c>
      <c r="G91" s="140">
        <v>580353.47434875579</v>
      </c>
      <c r="H91" s="138">
        <v>99808.075247482659</v>
      </c>
      <c r="I91" s="235">
        <v>3532.4900000000162</v>
      </c>
      <c r="J91" s="34">
        <f t="shared" si="4"/>
        <v>5.8146945816730735</v>
      </c>
      <c r="K91" s="212">
        <v>0.31194014046542518</v>
      </c>
      <c r="L91" s="91">
        <f t="shared" si="7"/>
        <v>28.254312184176658</v>
      </c>
      <c r="M91" s="317"/>
    </row>
    <row r="92" spans="1:13" ht="15.75" x14ac:dyDescent="0.25">
      <c r="A92" s="137" t="s">
        <v>18</v>
      </c>
      <c r="B92" s="236">
        <v>579</v>
      </c>
      <c r="C92" s="137" t="s">
        <v>12</v>
      </c>
      <c r="D92" s="137" t="s">
        <v>7</v>
      </c>
      <c r="E92" s="237">
        <v>193049.548460194</v>
      </c>
      <c r="F92" s="237">
        <v>40751.086335762644</v>
      </c>
      <c r="G92" s="140">
        <v>152298.46212443136</v>
      </c>
      <c r="H92" s="138">
        <v>20954.084119624582</v>
      </c>
      <c r="I92" s="235">
        <v>559.90000000000089</v>
      </c>
      <c r="J92" s="34">
        <f t="shared" si="4"/>
        <v>7.2681994237961458</v>
      </c>
      <c r="K92" s="212">
        <v>0.2110913320481832</v>
      </c>
      <c r="L92" s="91">
        <f t="shared" si="7"/>
        <v>37.424690336889711</v>
      </c>
      <c r="M92" s="317"/>
    </row>
    <row r="93" spans="1:13" ht="15.75" x14ac:dyDescent="0.25">
      <c r="A93" s="137" t="s">
        <v>18</v>
      </c>
      <c r="B93" s="236">
        <v>587</v>
      </c>
      <c r="C93" s="137" t="s">
        <v>12</v>
      </c>
      <c r="D93" s="137" t="s">
        <v>7</v>
      </c>
      <c r="E93" s="237">
        <v>426988.99486862961</v>
      </c>
      <c r="F93" s="237">
        <v>166735.62372249397</v>
      </c>
      <c r="G93" s="140">
        <v>260253.37114613564</v>
      </c>
      <c r="H93" s="138">
        <v>58783.669181884296</v>
      </c>
      <c r="I93" s="235">
        <v>1769.0200000000032</v>
      </c>
      <c r="J93" s="34">
        <f t="shared" si="4"/>
        <v>4.4273073587985463</v>
      </c>
      <c r="K93" s="212">
        <v>0.39049161858092618</v>
      </c>
      <c r="L93" s="91">
        <f t="shared" si="7"/>
        <v>33.229510792350673</v>
      </c>
      <c r="M93" s="317"/>
    </row>
    <row r="94" spans="1:13" ht="15.75" x14ac:dyDescent="0.25">
      <c r="A94" s="137" t="s">
        <v>18</v>
      </c>
      <c r="B94" s="236">
        <v>588</v>
      </c>
      <c r="C94" s="137" t="s">
        <v>12</v>
      </c>
      <c r="D94" s="137" t="s">
        <v>7</v>
      </c>
      <c r="E94" s="237">
        <v>182026.39655324596</v>
      </c>
      <c r="F94" s="237">
        <v>15507.396776303656</v>
      </c>
      <c r="G94" s="140">
        <v>166518.99977694231</v>
      </c>
      <c r="H94" s="138">
        <v>9253.5708346701103</v>
      </c>
      <c r="I94" s="235">
        <v>809.60000000000286</v>
      </c>
      <c r="J94" s="34">
        <f t="shared" si="4"/>
        <v>17.995107267461545</v>
      </c>
      <c r="K94" s="212">
        <v>8.5193120722836857E-2</v>
      </c>
      <c r="L94" s="91">
        <f t="shared" si="7"/>
        <v>11.429805872863238</v>
      </c>
      <c r="M94" s="317"/>
    </row>
    <row r="95" spans="1:13" ht="15.75" x14ac:dyDescent="0.25">
      <c r="A95" s="137" t="s">
        <v>18</v>
      </c>
      <c r="B95" s="236">
        <v>589</v>
      </c>
      <c r="C95" s="137" t="s">
        <v>12</v>
      </c>
      <c r="D95" s="137" t="s">
        <v>7</v>
      </c>
      <c r="E95" s="237">
        <v>466092.5811493154</v>
      </c>
      <c r="F95" s="237">
        <v>122277.88423674619</v>
      </c>
      <c r="G95" s="140">
        <v>343814.69691256923</v>
      </c>
      <c r="H95" s="138">
        <v>44277.314723543139</v>
      </c>
      <c r="I95" s="235">
        <v>2231.4599999999987</v>
      </c>
      <c r="J95" s="34">
        <f t="shared" si="4"/>
        <v>7.7650304463869402</v>
      </c>
      <c r="K95" s="212">
        <v>0.26234677225547554</v>
      </c>
      <c r="L95" s="91">
        <f t="shared" si="7"/>
        <v>19.84230715475212</v>
      </c>
      <c r="M95" s="319"/>
    </row>
    <row r="96" spans="1:13" ht="15.75" x14ac:dyDescent="0.25">
      <c r="A96" s="137" t="s">
        <v>18</v>
      </c>
      <c r="B96" s="236">
        <v>597</v>
      </c>
      <c r="C96" s="137" t="s">
        <v>12</v>
      </c>
      <c r="D96" s="137" t="s">
        <v>7</v>
      </c>
      <c r="E96" s="237">
        <v>1074452.0290258287</v>
      </c>
      <c r="F96" s="237">
        <v>357446.30840442289</v>
      </c>
      <c r="G96" s="140">
        <v>717005.72062140587</v>
      </c>
      <c r="H96" s="138">
        <v>131302.99411903165</v>
      </c>
      <c r="I96" s="235">
        <v>4408.9600000000137</v>
      </c>
      <c r="J96" s="34">
        <f t="shared" si="4"/>
        <v>5.4606958922156048</v>
      </c>
      <c r="K96" s="212">
        <v>0.3326777731794206</v>
      </c>
      <c r="L96" s="91">
        <f t="shared" si="7"/>
        <v>29.780944739582857</v>
      </c>
      <c r="M96" s="319"/>
    </row>
    <row r="97" spans="1:13" ht="15.75" x14ac:dyDescent="0.25">
      <c r="A97" s="137" t="s">
        <v>18</v>
      </c>
      <c r="B97" s="236">
        <v>643</v>
      </c>
      <c r="C97" s="137" t="s">
        <v>12</v>
      </c>
      <c r="D97" s="137" t="s">
        <v>7</v>
      </c>
      <c r="E97" s="237">
        <v>287561.79988392652</v>
      </c>
      <c r="F97" s="237">
        <v>32462.120925514955</v>
      </c>
      <c r="G97" s="140">
        <v>255099.67895841156</v>
      </c>
      <c r="H97" s="138">
        <v>28360.260081909597</v>
      </c>
      <c r="I97" s="235">
        <v>1277.649999999994</v>
      </c>
      <c r="J97" s="34">
        <f t="shared" si="4"/>
        <v>8.9949696590100796</v>
      </c>
      <c r="K97" s="212">
        <v>0.11288745910833148</v>
      </c>
      <c r="L97" s="91">
        <f t="shared" si="7"/>
        <v>22.197205871646954</v>
      </c>
      <c r="M97" s="319"/>
    </row>
    <row r="98" spans="1:13" ht="15.75" x14ac:dyDescent="0.25">
      <c r="A98" s="137" t="s">
        <v>18</v>
      </c>
      <c r="B98" s="236">
        <v>645</v>
      </c>
      <c r="C98" s="137" t="s">
        <v>12</v>
      </c>
      <c r="D98" s="137" t="s">
        <v>7</v>
      </c>
      <c r="E98" s="237">
        <v>3393509.4929165868</v>
      </c>
      <c r="F98" s="237">
        <v>515340.78204485832</v>
      </c>
      <c r="G98" s="140">
        <v>2878168.7108717286</v>
      </c>
      <c r="H98" s="138">
        <v>373026.47052618151</v>
      </c>
      <c r="I98" s="235">
        <v>18005.15999999992</v>
      </c>
      <c r="J98" s="34">
        <f t="shared" si="4"/>
        <v>7.7157224440717522</v>
      </c>
      <c r="K98" s="212">
        <v>0.15186071620561267</v>
      </c>
      <c r="L98" s="91">
        <f t="shared" si="7"/>
        <v>20.717753717611128</v>
      </c>
      <c r="M98" s="319"/>
    </row>
    <row r="99" spans="1:13" ht="15.75" x14ac:dyDescent="0.25">
      <c r="A99" s="137" t="s">
        <v>18</v>
      </c>
      <c r="B99" s="236">
        <v>652</v>
      </c>
      <c r="C99" s="137" t="s">
        <v>12</v>
      </c>
      <c r="D99" s="137" t="s">
        <v>7</v>
      </c>
      <c r="E99" s="237">
        <v>208335.64584013892</v>
      </c>
      <c r="F99" s="237">
        <v>79892.166583884085</v>
      </c>
      <c r="G99" s="140">
        <v>128443.47925625484</v>
      </c>
      <c r="H99" s="138">
        <v>35499.855200734208</v>
      </c>
      <c r="I99" s="235">
        <v>901.69999999999516</v>
      </c>
      <c r="J99" s="34">
        <f t="shared" si="4"/>
        <v>3.6181409340959334</v>
      </c>
      <c r="K99" s="212">
        <v>0.38347814298272948</v>
      </c>
      <c r="L99" s="91">
        <f t="shared" si="7"/>
        <v>39.369918155411334</v>
      </c>
      <c r="M99" s="319"/>
    </row>
    <row r="100" spans="1:13" ht="15.75" x14ac:dyDescent="0.25">
      <c r="A100" s="137" t="s">
        <v>18</v>
      </c>
      <c r="B100" s="236">
        <v>663</v>
      </c>
      <c r="C100" s="137" t="s">
        <v>12</v>
      </c>
      <c r="D100" s="137" t="s">
        <v>7</v>
      </c>
      <c r="E100" s="237">
        <v>574022.10966337775</v>
      </c>
      <c r="F100" s="237">
        <v>337801.19012902334</v>
      </c>
      <c r="G100" s="140">
        <v>236220.91953435441</v>
      </c>
      <c r="H100" s="138">
        <v>124212.15113889433</v>
      </c>
      <c r="I100" s="235">
        <v>2311.8199999999852</v>
      </c>
      <c r="J100" s="34">
        <f t="shared" ref="J100:J132" si="9">+G100/H100</f>
        <v>1.9017537122452022</v>
      </c>
      <c r="K100" s="212">
        <v>0.58848114809918939</v>
      </c>
      <c r="L100" s="91">
        <f t="shared" si="7"/>
        <v>53.729161932544542</v>
      </c>
      <c r="M100" s="317"/>
    </row>
    <row r="101" spans="1:13" ht="15.75" x14ac:dyDescent="0.25">
      <c r="A101" s="137" t="s">
        <v>18</v>
      </c>
      <c r="B101" s="236">
        <v>664</v>
      </c>
      <c r="C101" s="137" t="s">
        <v>12</v>
      </c>
      <c r="D101" s="137" t="s">
        <v>7</v>
      </c>
      <c r="E101" s="237">
        <v>448875.78201321285</v>
      </c>
      <c r="F101" s="237">
        <v>126788.34038965523</v>
      </c>
      <c r="G101" s="140">
        <v>322087.44162355759</v>
      </c>
      <c r="H101" s="138">
        <v>49723.032342870356</v>
      </c>
      <c r="I101" s="235">
        <v>1774.6</v>
      </c>
      <c r="J101" s="34">
        <f t="shared" si="9"/>
        <v>6.4776307165373597</v>
      </c>
      <c r="K101" s="212">
        <v>0.28245752047706413</v>
      </c>
      <c r="L101" s="91">
        <f t="shared" si="7"/>
        <v>28.019290174050692</v>
      </c>
      <c r="M101" s="317"/>
    </row>
    <row r="102" spans="1:13" ht="15.75" x14ac:dyDescent="0.25">
      <c r="A102" s="137" t="s">
        <v>18</v>
      </c>
      <c r="B102" s="236">
        <v>667</v>
      </c>
      <c r="C102" s="137" t="s">
        <v>12</v>
      </c>
      <c r="D102" s="137" t="s">
        <v>7</v>
      </c>
      <c r="E102" s="237">
        <v>771087.07773039432</v>
      </c>
      <c r="F102" s="237">
        <v>285129.02435864648</v>
      </c>
      <c r="G102" s="140">
        <v>485958.05337174784</v>
      </c>
      <c r="H102" s="138">
        <v>104929.1243687433</v>
      </c>
      <c r="I102" s="235">
        <v>3117.9799999999873</v>
      </c>
      <c r="J102" s="34">
        <f t="shared" si="9"/>
        <v>4.6312980909283841</v>
      </c>
      <c r="K102" s="212">
        <v>0.36977538930867676</v>
      </c>
      <c r="L102" s="91">
        <f t="shared" ref="L102:L111" si="10">+H102/I102</f>
        <v>33.652917712347012</v>
      </c>
      <c r="M102" s="317"/>
    </row>
    <row r="103" spans="1:13" ht="15.75" x14ac:dyDescent="0.25">
      <c r="A103" s="137" t="s">
        <v>18</v>
      </c>
      <c r="B103" s="236">
        <v>668</v>
      </c>
      <c r="C103" s="137" t="s">
        <v>12</v>
      </c>
      <c r="D103" s="137" t="s">
        <v>7</v>
      </c>
      <c r="E103" s="237">
        <v>286691.33392121474</v>
      </c>
      <c r="F103" s="237">
        <v>90146.125789316444</v>
      </c>
      <c r="G103" s="140">
        <v>196545.20813189831</v>
      </c>
      <c r="H103" s="138">
        <v>33534.210460043716</v>
      </c>
      <c r="I103" s="235">
        <v>1345.8799999999949</v>
      </c>
      <c r="J103" s="34">
        <f t="shared" si="9"/>
        <v>5.8610358030073053</v>
      </c>
      <c r="K103" s="212">
        <v>0.31443617271699387</v>
      </c>
      <c r="L103" s="91">
        <f t="shared" si="10"/>
        <v>24.916196436564807</v>
      </c>
      <c r="M103" s="317"/>
    </row>
    <row r="104" spans="1:13" ht="15.75" x14ac:dyDescent="0.25">
      <c r="A104" s="137" t="s">
        <v>18</v>
      </c>
      <c r="B104" s="236">
        <v>672</v>
      </c>
      <c r="C104" s="137" t="s">
        <v>12</v>
      </c>
      <c r="D104" s="137" t="s">
        <v>7</v>
      </c>
      <c r="E104" s="237">
        <v>689695.0723575817</v>
      </c>
      <c r="F104" s="237">
        <v>142344.38272621203</v>
      </c>
      <c r="G104" s="140">
        <v>547350.68963136966</v>
      </c>
      <c r="H104" s="138">
        <v>59257.705934652397</v>
      </c>
      <c r="I104" s="235">
        <v>3124.5499999999861</v>
      </c>
      <c r="J104" s="34">
        <f t="shared" si="9"/>
        <v>9.2367850053961149</v>
      </c>
      <c r="K104" s="212">
        <v>0.20638741442596775</v>
      </c>
      <c r="L104" s="91">
        <f t="shared" si="10"/>
        <v>18.965196887440644</v>
      </c>
      <c r="M104" s="317"/>
    </row>
    <row r="105" spans="1:13" ht="15.75" x14ac:dyDescent="0.25">
      <c r="A105" s="137" t="s">
        <v>18</v>
      </c>
      <c r="B105" s="236">
        <v>673</v>
      </c>
      <c r="C105" s="137" t="s">
        <v>12</v>
      </c>
      <c r="D105" s="137" t="s">
        <v>7</v>
      </c>
      <c r="E105" s="237">
        <v>773230.92676020111</v>
      </c>
      <c r="F105" s="237">
        <v>458210.08384232392</v>
      </c>
      <c r="G105" s="140">
        <v>315020.84291787719</v>
      </c>
      <c r="H105" s="138">
        <v>160492.04055862551</v>
      </c>
      <c r="I105" s="235">
        <v>2879.5400000000091</v>
      </c>
      <c r="J105" s="34">
        <f t="shared" si="9"/>
        <v>1.9628440252948522</v>
      </c>
      <c r="K105" s="212">
        <v>0.59259151177799008</v>
      </c>
      <c r="L105" s="91">
        <f t="shared" si="10"/>
        <v>55.735305138537754</v>
      </c>
      <c r="M105" s="317"/>
    </row>
    <row r="106" spans="1:13" ht="15.75" x14ac:dyDescent="0.25">
      <c r="A106" s="137" t="s">
        <v>18</v>
      </c>
      <c r="B106" s="236">
        <v>674</v>
      </c>
      <c r="C106" s="137" t="s">
        <v>12</v>
      </c>
      <c r="D106" s="137" t="s">
        <v>7</v>
      </c>
      <c r="E106" s="237">
        <v>304009.8936911872</v>
      </c>
      <c r="F106" s="237">
        <v>73978.813840536939</v>
      </c>
      <c r="G106" s="140">
        <v>230031.07985065028</v>
      </c>
      <c r="H106" s="138">
        <v>26870.726653080288</v>
      </c>
      <c r="I106" s="235">
        <v>1370.6900000000028</v>
      </c>
      <c r="J106" s="34">
        <f t="shared" si="9"/>
        <v>8.5606572096285678</v>
      </c>
      <c r="K106" s="212">
        <v>0.24334344169629069</v>
      </c>
      <c r="L106" s="91">
        <f t="shared" si="10"/>
        <v>19.603795645317494</v>
      </c>
      <c r="M106" s="317"/>
    </row>
    <row r="107" spans="1:13" ht="15.75" x14ac:dyDescent="0.25">
      <c r="A107" s="137" t="s">
        <v>18</v>
      </c>
      <c r="B107" s="236">
        <v>677</v>
      </c>
      <c r="C107" s="137" t="s">
        <v>12</v>
      </c>
      <c r="D107" s="137" t="s">
        <v>7</v>
      </c>
      <c r="E107" s="237">
        <v>406711.12585417664</v>
      </c>
      <c r="F107" s="237">
        <v>112180.45719511287</v>
      </c>
      <c r="G107" s="140">
        <v>294530.66865906375</v>
      </c>
      <c r="H107" s="138">
        <v>42850.018067506142</v>
      </c>
      <c r="I107" s="235">
        <v>1673.2600000000048</v>
      </c>
      <c r="J107" s="34">
        <f t="shared" si="9"/>
        <v>6.8735249584973008</v>
      </c>
      <c r="K107" s="212">
        <v>0.27582342863011416</v>
      </c>
      <c r="L107" s="91">
        <f t="shared" si="10"/>
        <v>25.608702812178635</v>
      </c>
      <c r="M107" s="317"/>
    </row>
    <row r="108" spans="1:13" ht="15.75" x14ac:dyDescent="0.25">
      <c r="A108" s="137" t="s">
        <v>18</v>
      </c>
      <c r="B108" s="236">
        <v>679</v>
      </c>
      <c r="C108" s="137" t="s">
        <v>12</v>
      </c>
      <c r="D108" s="137" t="s">
        <v>7</v>
      </c>
      <c r="E108" s="237">
        <v>109207.03701226129</v>
      </c>
      <c r="F108" s="237">
        <v>5893.2935231545016</v>
      </c>
      <c r="G108" s="140">
        <v>103313.7434891068</v>
      </c>
      <c r="H108" s="138">
        <v>2649.2119618593729</v>
      </c>
      <c r="I108" s="235">
        <v>465.51999999999759</v>
      </c>
      <c r="J108" s="34">
        <f t="shared" si="9"/>
        <v>38.997915220266158</v>
      </c>
      <c r="K108" s="212">
        <v>5.3964411858302024E-2</v>
      </c>
      <c r="L108" s="91">
        <f t="shared" si="10"/>
        <v>5.6908660462695195</v>
      </c>
      <c r="M108" s="317"/>
    </row>
    <row r="109" spans="1:13" ht="15.75" x14ac:dyDescent="0.25">
      <c r="A109" s="137" t="s">
        <v>18</v>
      </c>
      <c r="B109" s="236">
        <v>755</v>
      </c>
      <c r="C109" s="137" t="s">
        <v>12</v>
      </c>
      <c r="D109" s="137" t="s">
        <v>7</v>
      </c>
      <c r="E109" s="237">
        <v>1095556.3594045658</v>
      </c>
      <c r="F109" s="237">
        <v>158592.77060874683</v>
      </c>
      <c r="G109" s="140">
        <v>936963.58879581897</v>
      </c>
      <c r="H109" s="138">
        <v>108535.74535205774</v>
      </c>
      <c r="I109" s="235">
        <v>5569.7099999999909</v>
      </c>
      <c r="J109" s="34">
        <f t="shared" si="9"/>
        <v>8.6327650467280357</v>
      </c>
      <c r="K109" s="212">
        <v>0.14476002922838394</v>
      </c>
      <c r="L109" s="91">
        <f t="shared" si="10"/>
        <v>19.486785730685785</v>
      </c>
      <c r="M109" s="317"/>
    </row>
    <row r="110" spans="1:13" ht="15.75" x14ac:dyDescent="0.25">
      <c r="A110" s="137" t="s">
        <v>18</v>
      </c>
      <c r="B110" s="236">
        <v>756</v>
      </c>
      <c r="C110" s="137" t="s">
        <v>12</v>
      </c>
      <c r="D110" s="137" t="s">
        <v>7</v>
      </c>
      <c r="E110" s="237">
        <v>309917.51103053964</v>
      </c>
      <c r="F110" s="237">
        <v>145361.94897785754</v>
      </c>
      <c r="G110" s="140">
        <v>164555.5620526821</v>
      </c>
      <c r="H110" s="138">
        <v>50753.050932583101</v>
      </c>
      <c r="I110" s="235">
        <v>1369.9000000000028</v>
      </c>
      <c r="J110" s="34">
        <f t="shared" si="9"/>
        <v>3.2422792133475191</v>
      </c>
      <c r="K110" s="212">
        <v>0.46903431979206039</v>
      </c>
      <c r="L110" s="91">
        <f t="shared" si="10"/>
        <v>37.048726865160226</v>
      </c>
      <c r="M110" s="317"/>
    </row>
    <row r="111" spans="1:13" ht="15.75" x14ac:dyDescent="0.25">
      <c r="A111" s="137" t="s">
        <v>18</v>
      </c>
      <c r="B111" s="236">
        <v>758</v>
      </c>
      <c r="C111" s="137" t="s">
        <v>12</v>
      </c>
      <c r="D111" s="137" t="s">
        <v>7</v>
      </c>
      <c r="E111" s="237">
        <v>597163.02786324418</v>
      </c>
      <c r="F111" s="237">
        <v>290877.8934476999</v>
      </c>
      <c r="G111" s="140">
        <v>306285.13441554428</v>
      </c>
      <c r="H111" s="138">
        <v>108774.31964776159</v>
      </c>
      <c r="I111" s="235">
        <v>2360.4899999999916</v>
      </c>
      <c r="J111" s="34">
        <f t="shared" si="9"/>
        <v>2.8157853380041544</v>
      </c>
      <c r="K111" s="212">
        <v>0.48709963590430722</v>
      </c>
      <c r="L111" s="91">
        <f t="shared" si="10"/>
        <v>46.081245693801698</v>
      </c>
      <c r="M111" s="317"/>
    </row>
    <row r="112" spans="1:13" s="139" customFormat="1" ht="15.75" x14ac:dyDescent="0.25">
      <c r="A112" s="137" t="s">
        <v>18</v>
      </c>
      <c r="B112" s="236">
        <v>760</v>
      </c>
      <c r="C112" s="137" t="s">
        <v>12</v>
      </c>
      <c r="D112" s="137" t="s">
        <v>7</v>
      </c>
      <c r="E112" s="237">
        <v>724142.42206679645</v>
      </c>
      <c r="F112" s="237">
        <v>298175.89825728274</v>
      </c>
      <c r="G112" s="140">
        <v>425966.52380951372</v>
      </c>
      <c r="H112" s="138">
        <v>124622.91383932359</v>
      </c>
      <c r="I112" s="235">
        <v>3274.52000000001</v>
      </c>
      <c r="J112" s="34">
        <f t="shared" si="9"/>
        <v>3.4180433652732005</v>
      </c>
      <c r="K112" s="212">
        <v>0.41176416292012008</v>
      </c>
      <c r="L112" s="91">
        <f>+H112/I112</f>
        <v>38.05837614041851</v>
      </c>
      <c r="M112" s="319"/>
    </row>
    <row r="113" spans="1:13" s="139" customFormat="1" ht="15.75" x14ac:dyDescent="0.25">
      <c r="A113" s="137" t="s">
        <v>18</v>
      </c>
      <c r="B113" s="236">
        <v>761</v>
      </c>
      <c r="C113" s="137" t="s">
        <v>12</v>
      </c>
      <c r="D113" s="137" t="s">
        <v>7</v>
      </c>
      <c r="E113" s="237">
        <v>460022.69685324776</v>
      </c>
      <c r="F113" s="237">
        <v>141092.65226304281</v>
      </c>
      <c r="G113" s="140">
        <v>318930.04459020495</v>
      </c>
      <c r="H113" s="138">
        <v>63696.225114290719</v>
      </c>
      <c r="I113" s="235">
        <v>1977.4599999999989</v>
      </c>
      <c r="J113" s="34">
        <f t="shared" si="9"/>
        <v>5.0070478119848678</v>
      </c>
      <c r="K113" s="212">
        <v>0.30670802381747025</v>
      </c>
      <c r="L113" s="91">
        <f>+H113/I113</f>
        <v>32.211132014953911</v>
      </c>
      <c r="M113" s="319"/>
    </row>
    <row r="114" spans="1:13" s="139" customFormat="1" ht="15.75" x14ac:dyDescent="0.25">
      <c r="A114" s="137" t="s">
        <v>18</v>
      </c>
      <c r="B114" s="236">
        <v>762</v>
      </c>
      <c r="C114" s="137" t="s">
        <v>12</v>
      </c>
      <c r="D114" s="137" t="s">
        <v>7</v>
      </c>
      <c r="E114" s="237">
        <v>150516.35378929728</v>
      </c>
      <c r="F114" s="237">
        <v>34398.850342830898</v>
      </c>
      <c r="G114" s="140">
        <v>116117.50344646638</v>
      </c>
      <c r="H114" s="138">
        <v>23145.855801460468</v>
      </c>
      <c r="I114" s="235">
        <v>568.62</v>
      </c>
      <c r="J114" s="34">
        <f t="shared" si="9"/>
        <v>5.0167729567873458</v>
      </c>
      <c r="K114" s="212">
        <v>0.22853895591295467</v>
      </c>
      <c r="L114" s="91">
        <f>+H114/I114</f>
        <v>40.705314272203701</v>
      </c>
      <c r="M114" s="319"/>
    </row>
    <row r="115" spans="1:13" ht="15.75" x14ac:dyDescent="0.25">
      <c r="A115" s="137" t="s">
        <v>18</v>
      </c>
      <c r="B115" s="236">
        <v>763</v>
      </c>
      <c r="C115" s="137" t="s">
        <v>12</v>
      </c>
      <c r="D115" s="137" t="s">
        <v>7</v>
      </c>
      <c r="E115" s="237">
        <v>424288.21263993118</v>
      </c>
      <c r="F115" s="237">
        <v>117665.6392490756</v>
      </c>
      <c r="G115" s="140">
        <v>306622.57339085557</v>
      </c>
      <c r="H115" s="138">
        <v>48676.417280412992</v>
      </c>
      <c r="I115" s="235">
        <v>1972.8100000000068</v>
      </c>
      <c r="J115" s="34">
        <f t="shared" si="9"/>
        <v>6.2992017597449204</v>
      </c>
      <c r="K115" s="212">
        <v>0.27732478947967287</v>
      </c>
      <c r="L115" s="91">
        <f t="shared" ref="L115:L132" si="11">+H115/I115</f>
        <v>24.673646869395849</v>
      </c>
      <c r="M115" s="319"/>
    </row>
    <row r="116" spans="1:13" ht="15.75" x14ac:dyDescent="0.25">
      <c r="A116" s="137" t="s">
        <v>18</v>
      </c>
      <c r="B116" s="236">
        <v>764</v>
      </c>
      <c r="C116" s="137" t="s">
        <v>12</v>
      </c>
      <c r="D116" s="137" t="s">
        <v>7</v>
      </c>
      <c r="E116" s="237">
        <v>311061.63058974507</v>
      </c>
      <c r="F116" s="237">
        <v>130385.50688156554</v>
      </c>
      <c r="G116" s="140">
        <v>180676.12370817951</v>
      </c>
      <c r="H116" s="138">
        <v>51911.692186066626</v>
      </c>
      <c r="I116" s="235">
        <v>1419.9999999999966</v>
      </c>
      <c r="J116" s="34">
        <f t="shared" si="9"/>
        <v>3.4804514378106508</v>
      </c>
      <c r="K116" s="212">
        <v>0.4191629376929783</v>
      </c>
      <c r="L116" s="91">
        <f t="shared" si="11"/>
        <v>36.557529708497711</v>
      </c>
      <c r="M116" s="319"/>
    </row>
    <row r="117" spans="1:13" ht="15.75" x14ac:dyDescent="0.25">
      <c r="A117" s="137" t="s">
        <v>18</v>
      </c>
      <c r="B117" s="236">
        <v>765</v>
      </c>
      <c r="C117" s="137" t="s">
        <v>12</v>
      </c>
      <c r="D117" s="137" t="s">
        <v>7</v>
      </c>
      <c r="E117" s="237">
        <v>316907.3664625528</v>
      </c>
      <c r="F117" s="237">
        <v>62503.427643685529</v>
      </c>
      <c r="G117" s="140">
        <v>254403.93881886726</v>
      </c>
      <c r="H117" s="138">
        <v>33453.30265541371</v>
      </c>
      <c r="I117" s="235">
        <v>1193.3999999999976</v>
      </c>
      <c r="J117" s="34">
        <f t="shared" si="9"/>
        <v>7.6047480704479069</v>
      </c>
      <c r="K117" s="212">
        <v>0.19722933026572992</v>
      </c>
      <c r="L117" s="91">
        <f t="shared" si="11"/>
        <v>28.031927815831889</v>
      </c>
      <c r="M117" s="317"/>
    </row>
    <row r="118" spans="1:13" ht="15.75" x14ac:dyDescent="0.25">
      <c r="A118" s="137" t="s">
        <v>18</v>
      </c>
      <c r="B118" s="236">
        <v>766</v>
      </c>
      <c r="C118" s="137" t="s">
        <v>12</v>
      </c>
      <c r="D118" s="137" t="s">
        <v>7</v>
      </c>
      <c r="E118" s="237">
        <v>1516177.0637940096</v>
      </c>
      <c r="F118" s="237">
        <v>321880.43292415835</v>
      </c>
      <c r="G118" s="140">
        <v>1194296.6308698512</v>
      </c>
      <c r="H118" s="138">
        <v>135159.59947306185</v>
      </c>
      <c r="I118" s="235">
        <v>6571.1299999999665</v>
      </c>
      <c r="J118" s="34">
        <f t="shared" si="9"/>
        <v>8.8361953980773809</v>
      </c>
      <c r="K118" s="212">
        <v>0.2122973896720875</v>
      </c>
      <c r="L118" s="91">
        <f t="shared" si="11"/>
        <v>20.568699671603294</v>
      </c>
      <c r="M118" s="317"/>
    </row>
    <row r="119" spans="1:13" ht="15.75" x14ac:dyDescent="0.25">
      <c r="A119" s="137" t="s">
        <v>18</v>
      </c>
      <c r="B119" s="236">
        <v>767</v>
      </c>
      <c r="C119" s="137" t="s">
        <v>12</v>
      </c>
      <c r="D119" s="137" t="s">
        <v>7</v>
      </c>
      <c r="E119" s="237">
        <v>418159.19716472214</v>
      </c>
      <c r="F119" s="237">
        <v>97402.334052544553</v>
      </c>
      <c r="G119" s="140">
        <v>320756.86311217758</v>
      </c>
      <c r="H119" s="138">
        <v>40488.132540037936</v>
      </c>
      <c r="I119" s="235">
        <v>1607.8699999999919</v>
      </c>
      <c r="J119" s="34">
        <f t="shared" si="9"/>
        <v>7.9222439512365082</v>
      </c>
      <c r="K119" s="212">
        <v>0.23293122502857597</v>
      </c>
      <c r="L119" s="91">
        <f t="shared" si="11"/>
        <v>25.1812226983762</v>
      </c>
      <c r="M119" s="317"/>
    </row>
    <row r="120" spans="1:13" ht="15.75" x14ac:dyDescent="0.25">
      <c r="A120" s="137" t="s">
        <v>18</v>
      </c>
      <c r="B120" s="236">
        <v>768</v>
      </c>
      <c r="C120" s="137" t="s">
        <v>12</v>
      </c>
      <c r="D120" s="137" t="s">
        <v>7</v>
      </c>
      <c r="E120" s="237">
        <v>1520660.032259173</v>
      </c>
      <c r="F120" s="237">
        <v>912410.42127858079</v>
      </c>
      <c r="G120" s="140">
        <v>608249.6109805922</v>
      </c>
      <c r="H120" s="138">
        <v>339431.06057289202</v>
      </c>
      <c r="I120" s="235">
        <v>5466.1400000000031</v>
      </c>
      <c r="J120" s="34">
        <f t="shared" si="9"/>
        <v>1.7919680360247174</v>
      </c>
      <c r="K120" s="212">
        <v>0.60000947083685474</v>
      </c>
      <c r="L120" s="91">
        <f t="shared" si="11"/>
        <v>62.097030184534574</v>
      </c>
      <c r="M120" s="319"/>
    </row>
    <row r="121" spans="1:13" ht="15.75" x14ac:dyDescent="0.25">
      <c r="A121" s="137" t="s">
        <v>18</v>
      </c>
      <c r="B121" s="236">
        <v>850</v>
      </c>
      <c r="C121" s="137" t="s">
        <v>12</v>
      </c>
      <c r="D121" s="137" t="s">
        <v>7</v>
      </c>
      <c r="E121" s="237">
        <v>2474652.2233677288</v>
      </c>
      <c r="F121" s="237">
        <v>1281070.5264772258</v>
      </c>
      <c r="G121" s="140">
        <v>1193581.6968905029</v>
      </c>
      <c r="H121" s="138">
        <v>463539.48375713249</v>
      </c>
      <c r="I121" s="235">
        <v>9403.360000000017</v>
      </c>
      <c r="J121" s="34">
        <f t="shared" si="9"/>
        <v>2.5749299438661621</v>
      </c>
      <c r="K121" s="212">
        <v>0.51767699492489905</v>
      </c>
      <c r="L121" s="91">
        <f t="shared" si="11"/>
        <v>49.295090665159222</v>
      </c>
      <c r="M121" s="319"/>
    </row>
    <row r="122" spans="1:13" ht="15.75" x14ac:dyDescent="0.25">
      <c r="A122" s="137" t="s">
        <v>18</v>
      </c>
      <c r="B122" s="236">
        <v>852</v>
      </c>
      <c r="C122" s="137" t="s">
        <v>12</v>
      </c>
      <c r="D122" s="137" t="s">
        <v>7</v>
      </c>
      <c r="E122" s="237">
        <v>2059167.6807013811</v>
      </c>
      <c r="F122" s="237">
        <v>345957.08758975373</v>
      </c>
      <c r="G122" s="140">
        <v>1713210.5931116273</v>
      </c>
      <c r="H122" s="138">
        <v>224124.99162057735</v>
      </c>
      <c r="I122" s="235">
        <v>10857.350000000022</v>
      </c>
      <c r="J122" s="34">
        <f t="shared" si="9"/>
        <v>7.6439962394373788</v>
      </c>
      <c r="K122" s="212">
        <v>0.16800821556791137</v>
      </c>
      <c r="L122" s="91">
        <f t="shared" si="11"/>
        <v>20.642697492535184</v>
      </c>
      <c r="M122" s="319"/>
    </row>
    <row r="123" spans="1:13" ht="15.75" x14ac:dyDescent="0.25">
      <c r="A123" s="137" t="s">
        <v>18</v>
      </c>
      <c r="B123" s="236">
        <v>854</v>
      </c>
      <c r="C123" s="137" t="s">
        <v>12</v>
      </c>
      <c r="D123" s="137" t="s">
        <v>7</v>
      </c>
      <c r="E123" s="237">
        <v>951096.13847432157</v>
      </c>
      <c r="F123" s="237">
        <v>305386.31959426374</v>
      </c>
      <c r="G123" s="140">
        <v>645709.81888005789</v>
      </c>
      <c r="H123" s="138">
        <v>126064.73240901213</v>
      </c>
      <c r="I123" s="235">
        <v>3812.180000000013</v>
      </c>
      <c r="J123" s="34">
        <f t="shared" si="9"/>
        <v>5.1220496529122634</v>
      </c>
      <c r="K123" s="212">
        <v>0.32108880189981848</v>
      </c>
      <c r="L123" s="91">
        <f t="shared" si="11"/>
        <v>33.068934942476929</v>
      </c>
      <c r="M123" s="319"/>
    </row>
    <row r="124" spans="1:13" ht="15.75" x14ac:dyDescent="0.25">
      <c r="A124" s="137" t="s">
        <v>18</v>
      </c>
      <c r="B124" s="236">
        <v>860</v>
      </c>
      <c r="C124" s="137" t="s">
        <v>12</v>
      </c>
      <c r="D124" s="137" t="s">
        <v>7</v>
      </c>
      <c r="E124" s="237">
        <v>946860.69587534992</v>
      </c>
      <c r="F124" s="237">
        <v>268782.223366149</v>
      </c>
      <c r="G124" s="140">
        <v>678078.47250920092</v>
      </c>
      <c r="H124" s="138">
        <v>125251.50524452592</v>
      </c>
      <c r="I124" s="235">
        <v>3693.7999999999847</v>
      </c>
      <c r="J124" s="34">
        <f t="shared" si="9"/>
        <v>5.4137351178766462</v>
      </c>
      <c r="K124" s="212">
        <v>0.2838667023956109</v>
      </c>
      <c r="L124" s="91">
        <f t="shared" si="11"/>
        <v>33.908577953469717</v>
      </c>
      <c r="M124" s="319"/>
    </row>
    <row r="125" spans="1:13" ht="15.75" x14ac:dyDescent="0.25">
      <c r="A125" s="137" t="s">
        <v>18</v>
      </c>
      <c r="B125" s="236">
        <v>865</v>
      </c>
      <c r="C125" s="137" t="s">
        <v>12</v>
      </c>
      <c r="D125" s="137" t="s">
        <v>7</v>
      </c>
      <c r="E125" s="237">
        <v>896787.58829204843</v>
      </c>
      <c r="F125" s="237">
        <v>311742.63377495832</v>
      </c>
      <c r="G125" s="140">
        <v>585044.95451709011</v>
      </c>
      <c r="H125" s="138">
        <v>129000.23352571613</v>
      </c>
      <c r="I125" s="235">
        <v>3229.419999999991</v>
      </c>
      <c r="J125" s="34">
        <f t="shared" si="9"/>
        <v>4.5352239955477422</v>
      </c>
      <c r="K125" s="212">
        <v>0.34762148567274331</v>
      </c>
      <c r="L125" s="91">
        <f t="shared" si="11"/>
        <v>39.94532563919109</v>
      </c>
      <c r="M125" s="319"/>
    </row>
    <row r="126" spans="1:13" ht="15.75" x14ac:dyDescent="0.25">
      <c r="A126" s="137" t="s">
        <v>18</v>
      </c>
      <c r="B126" s="236">
        <v>94</v>
      </c>
      <c r="C126" s="137" t="s">
        <v>12</v>
      </c>
      <c r="D126" s="137" t="s">
        <v>8</v>
      </c>
      <c r="E126" s="237">
        <v>14177.731556965482</v>
      </c>
      <c r="F126" s="237">
        <v>459.10832908817821</v>
      </c>
      <c r="G126" s="140">
        <v>13718.623227877304</v>
      </c>
      <c r="H126" s="138">
        <v>504.11785961771932</v>
      </c>
      <c r="I126" s="235">
        <v>71.539999999999992</v>
      </c>
      <c r="J126" s="34">
        <f t="shared" si="9"/>
        <v>27.213126784042835</v>
      </c>
      <c r="K126" s="212">
        <v>3.238235448622382E-2</v>
      </c>
      <c r="L126" s="91">
        <f t="shared" si="11"/>
        <v>7.046657249339102</v>
      </c>
      <c r="M126" s="319"/>
    </row>
    <row r="127" spans="1:13" ht="15.75" x14ac:dyDescent="0.25">
      <c r="A127" s="137" t="s">
        <v>18</v>
      </c>
      <c r="B127" s="236">
        <v>535</v>
      </c>
      <c r="C127" s="137" t="s">
        <v>12</v>
      </c>
      <c r="D127" s="137" t="s">
        <v>8</v>
      </c>
      <c r="E127" s="237">
        <v>295999.68163305748</v>
      </c>
      <c r="F127" s="237">
        <v>7218.8606489783824</v>
      </c>
      <c r="G127" s="140">
        <v>288780.8209840791</v>
      </c>
      <c r="H127" s="138">
        <v>7814.8641036211875</v>
      </c>
      <c r="I127" s="235">
        <v>1509.5700000000004</v>
      </c>
      <c r="J127" s="34">
        <f t="shared" si="9"/>
        <v>36.952762985381433</v>
      </c>
      <c r="K127" s="212">
        <v>2.438806896396396E-2</v>
      </c>
      <c r="L127" s="91">
        <f t="shared" si="11"/>
        <v>5.1768809022577198</v>
      </c>
      <c r="M127" s="319"/>
    </row>
    <row r="128" spans="1:13" ht="15.75" x14ac:dyDescent="0.25">
      <c r="A128" s="137" t="s">
        <v>18</v>
      </c>
      <c r="B128" s="236">
        <v>645</v>
      </c>
      <c r="C128" s="137" t="s">
        <v>12</v>
      </c>
      <c r="D128" s="137" t="s">
        <v>8</v>
      </c>
      <c r="E128" s="237">
        <v>217941.02459139016</v>
      </c>
      <c r="F128" s="237">
        <v>19732.818825162023</v>
      </c>
      <c r="G128" s="140">
        <v>198208.20576622814</v>
      </c>
      <c r="H128" s="138">
        <v>21325.430197285372</v>
      </c>
      <c r="I128" s="235">
        <v>1318.8000000000013</v>
      </c>
      <c r="J128" s="34">
        <f t="shared" si="9"/>
        <v>9.2944528636734898</v>
      </c>
      <c r="K128" s="212">
        <v>9.0542011822502808E-2</v>
      </c>
      <c r="L128" s="91">
        <f t="shared" si="11"/>
        <v>16.170329236643425</v>
      </c>
      <c r="M128" s="319"/>
    </row>
    <row r="129" spans="1:13" ht="15.75" x14ac:dyDescent="0.25">
      <c r="A129" s="137" t="s">
        <v>18</v>
      </c>
      <c r="B129" s="236">
        <v>852</v>
      </c>
      <c r="C129" s="137" t="s">
        <v>12</v>
      </c>
      <c r="D129" s="137" t="s">
        <v>8</v>
      </c>
      <c r="E129" s="237">
        <v>180520.61420068741</v>
      </c>
      <c r="F129" s="237">
        <v>18399.729491765898</v>
      </c>
      <c r="G129" s="140">
        <v>162120.88470892151</v>
      </c>
      <c r="H129" s="138">
        <v>15852.743309748155</v>
      </c>
      <c r="I129" s="235">
        <v>1018.9999999999992</v>
      </c>
      <c r="J129" s="34">
        <f t="shared" si="9"/>
        <v>10.22667695686653</v>
      </c>
      <c r="K129" s="212">
        <v>0.101925918949681</v>
      </c>
      <c r="L129" s="91">
        <f t="shared" si="11"/>
        <v>15.557157320655708</v>
      </c>
      <c r="M129" s="317"/>
    </row>
    <row r="130" spans="1:13" ht="15.75" x14ac:dyDescent="0.25">
      <c r="A130" s="137" t="s">
        <v>18</v>
      </c>
      <c r="B130" s="236">
        <v>94</v>
      </c>
      <c r="C130" s="137" t="s">
        <v>12</v>
      </c>
      <c r="D130" s="137" t="s">
        <v>9</v>
      </c>
      <c r="E130" s="237">
        <v>7059.987760762443</v>
      </c>
      <c r="F130" s="237">
        <v>116.7551984656529</v>
      </c>
      <c r="G130" s="140">
        <v>6943.2325622967901</v>
      </c>
      <c r="H130" s="138">
        <v>185.67303883039455</v>
      </c>
      <c r="I130" s="235">
        <v>35.769999999999996</v>
      </c>
      <c r="J130" s="34">
        <f t="shared" si="9"/>
        <v>37.394942238432236</v>
      </c>
      <c r="K130" s="212">
        <v>1.653759219166747E-2</v>
      </c>
      <c r="L130" s="91">
        <f t="shared" si="11"/>
        <v>5.1907475211181033</v>
      </c>
      <c r="M130" s="317"/>
    </row>
    <row r="131" spans="1:13" ht="15.75" x14ac:dyDescent="0.25">
      <c r="A131" s="137" t="s">
        <v>18</v>
      </c>
      <c r="B131" s="236">
        <v>535</v>
      </c>
      <c r="C131" s="137" t="s">
        <v>12</v>
      </c>
      <c r="D131" s="137" t="s">
        <v>9</v>
      </c>
      <c r="E131" s="237">
        <v>310775.60069994314</v>
      </c>
      <c r="F131" s="237">
        <v>5810.0516619270466</v>
      </c>
      <c r="G131" s="140">
        <v>304965.54903801612</v>
      </c>
      <c r="H131" s="138">
        <v>6276.5785361045673</v>
      </c>
      <c r="I131" s="235">
        <v>1583.3499999999997</v>
      </c>
      <c r="J131" s="34">
        <f t="shared" si="9"/>
        <v>48.587864755259936</v>
      </c>
      <c r="K131" s="212">
        <v>1.8695327589557803E-2</v>
      </c>
      <c r="L131" s="91">
        <f t="shared" si="11"/>
        <v>3.9641131374014389</v>
      </c>
      <c r="M131" s="317"/>
    </row>
    <row r="132" spans="1:13" ht="16.5" thickBot="1" x14ac:dyDescent="0.3">
      <c r="A132" s="36" t="s">
        <v>18</v>
      </c>
      <c r="B132" s="136">
        <v>645</v>
      </c>
      <c r="C132" s="36" t="s">
        <v>12</v>
      </c>
      <c r="D132" s="36" t="s">
        <v>9</v>
      </c>
      <c r="E132" s="238">
        <v>179585.51648403</v>
      </c>
      <c r="F132" s="238">
        <v>13333.0592614334</v>
      </c>
      <c r="G132" s="37">
        <v>166252.4572225966</v>
      </c>
      <c r="H132" s="38">
        <v>15931.576555285083</v>
      </c>
      <c r="I132" s="239">
        <v>1071.2199999999993</v>
      </c>
      <c r="J132" s="39">
        <f t="shared" si="9"/>
        <v>10.435405224691628</v>
      </c>
      <c r="K132" s="233">
        <v>7.4243510960523756E-2</v>
      </c>
      <c r="L132" s="92">
        <f t="shared" si="11"/>
        <v>14.872366605631983</v>
      </c>
      <c r="M132" s="320"/>
    </row>
    <row r="133" spans="1:13" ht="15.75" thickBot="1" x14ac:dyDescent="0.3">
      <c r="G133" s="15"/>
      <c r="H133" s="15"/>
      <c r="I133" s="52"/>
      <c r="J133"/>
    </row>
    <row r="134" spans="1:13" ht="24.75" thickBot="1" x14ac:dyDescent="0.3">
      <c r="A134" s="271" t="s">
        <v>42</v>
      </c>
      <c r="B134" s="272"/>
      <c r="E134" s="15"/>
      <c r="F134" s="15"/>
      <c r="G134" s="105">
        <v>1.6</v>
      </c>
      <c r="H134" s="40">
        <v>1.35</v>
      </c>
      <c r="I134" s="40">
        <v>1.2</v>
      </c>
      <c r="J134" s="106" t="s">
        <v>32</v>
      </c>
    </row>
    <row r="135" spans="1:13" ht="15.75" x14ac:dyDescent="0.25">
      <c r="A135" t="s">
        <v>7</v>
      </c>
      <c r="B135" s="266"/>
      <c r="F135"/>
      <c r="G135" s="157">
        <f>+$J$135*G134</f>
        <v>11.568000000000001</v>
      </c>
      <c r="H135" s="155">
        <f>+$J$135*H134</f>
        <v>9.7605000000000004</v>
      </c>
      <c r="I135" s="153">
        <f>+$J$135*I134</f>
        <v>8.6760000000000002</v>
      </c>
      <c r="J135" s="107">
        <f>+ROUND(AVERAGEIF($D$4:$D$132,"Weekday",$J$4:$J$132),2)</f>
        <v>7.23</v>
      </c>
    </row>
    <row r="136" spans="1:13" ht="16.5" thickBot="1" x14ac:dyDescent="0.3">
      <c r="A136" t="s">
        <v>148</v>
      </c>
      <c r="B136" s="266"/>
      <c r="G136" s="158">
        <f>+$J$136*G134</f>
        <v>60.511453275533029</v>
      </c>
      <c r="H136" s="156">
        <f>+$J$136*H134</f>
        <v>51.056538701230998</v>
      </c>
      <c r="I136" s="154">
        <f>+$J$136*I134</f>
        <v>45.383589956649772</v>
      </c>
      <c r="J136" s="109">
        <f>AVERAGE(J22:J25,J126:J132)</f>
        <v>37.819658297208143</v>
      </c>
    </row>
    <row r="137" spans="1:13" x14ac:dyDescent="0.25">
      <c r="B137" s="266"/>
      <c r="G137" s="10"/>
      <c r="J137"/>
    </row>
    <row r="138" spans="1:13" x14ac:dyDescent="0.25">
      <c r="G138" s="10"/>
      <c r="J138"/>
      <c r="K138" s="42"/>
      <c r="L138" s="42"/>
    </row>
    <row r="139" spans="1:13" x14ac:dyDescent="0.25">
      <c r="A139" s="268"/>
      <c r="G139" s="10"/>
      <c r="J139"/>
      <c r="K139" s="42"/>
      <c r="L139" s="42"/>
    </row>
    <row r="140" spans="1:13" x14ac:dyDescent="0.25">
      <c r="A140" s="139"/>
      <c r="B140" s="268"/>
      <c r="C140" s="5"/>
      <c r="D140" s="43"/>
      <c r="G140" s="10"/>
      <c r="J140"/>
      <c r="K140" s="42"/>
      <c r="L140" s="42"/>
    </row>
    <row r="141" spans="1:13" x14ac:dyDescent="0.25">
      <c r="A141" s="139"/>
      <c r="B141" s="268"/>
      <c r="C141" s="5"/>
      <c r="D141" s="43"/>
      <c r="G141" s="10"/>
      <c r="J141"/>
      <c r="K141" s="42"/>
      <c r="L141" s="42"/>
    </row>
    <row r="142" spans="1:13" x14ac:dyDescent="0.25">
      <c r="A142" s="139"/>
      <c r="B142" s="268"/>
      <c r="C142" s="5"/>
      <c r="D142" s="43"/>
      <c r="G142" s="10"/>
      <c r="J142"/>
      <c r="K142" s="42"/>
      <c r="L142" s="42"/>
    </row>
    <row r="143" spans="1:13" s="139" customFormat="1" x14ac:dyDescent="0.25">
      <c r="A143" s="3"/>
      <c r="B143" s="268"/>
      <c r="C143" s="5"/>
      <c r="D143" s="43"/>
      <c r="F143" s="10"/>
      <c r="G143" s="10"/>
      <c r="K143" s="42"/>
      <c r="L143" s="42"/>
      <c r="M143" s="13"/>
    </row>
    <row r="144" spans="1:13" x14ac:dyDescent="0.25">
      <c r="A144" s="3"/>
      <c r="B144" s="268"/>
      <c r="C144" s="6"/>
      <c r="D144" s="43"/>
      <c r="G144" s="10"/>
      <c r="J144"/>
      <c r="K144" s="42"/>
      <c r="L144" s="42"/>
    </row>
  </sheetData>
  <sortState xmlns:xlrd2="http://schemas.microsoft.com/office/spreadsheetml/2017/richdata2" ref="A4:M132">
    <sortCondition ref="C4:C132"/>
    <sortCondition ref="D4:D132" customList="Weekday,Saturday,Sunday,Sunday/Holiday,Reduced"/>
    <sortCondition ref="B4:B132"/>
  </sortState>
  <mergeCells count="1">
    <mergeCell ref="A2:N2"/>
  </mergeCells>
  <conditionalFormatting sqref="K4:K54">
    <cfRule type="cellIs" dxfId="43" priority="13" stopIfTrue="1" operator="greaterThan">
      <formula>1.6</formula>
    </cfRule>
    <cfRule type="cellIs" dxfId="42" priority="14" stopIfTrue="1" operator="greaterThan">
      <formula>1.35</formula>
    </cfRule>
    <cfRule type="cellIs" dxfId="41" priority="15" stopIfTrue="1" operator="greaterThan">
      <formula>1.2</formula>
    </cfRule>
  </conditionalFormatting>
  <conditionalFormatting sqref="L4:L132">
    <cfRule type="cellIs" dxfId="40" priority="7" stopIfTrue="1" operator="lessThan">
      <formula>10</formula>
    </cfRule>
    <cfRule type="cellIs" dxfId="39" priority="8" operator="lessThan">
      <formula>20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4"/>
  <sheetViews>
    <sheetView tabSelected="1" workbookViewId="0">
      <pane ySplit="1" topLeftCell="A2" activePane="bottomLeft" state="frozen"/>
      <selection pane="bottomLeft" activeCell="E230" sqref="E230"/>
    </sheetView>
  </sheetViews>
  <sheetFormatPr defaultRowHeight="15" x14ac:dyDescent="0.25"/>
  <cols>
    <col min="1" max="1" width="17.7109375" bestFit="1" customWidth="1"/>
    <col min="2" max="2" width="24.28515625" style="12" bestFit="1" customWidth="1"/>
    <col min="3" max="3" width="26" bestFit="1" customWidth="1"/>
    <col min="4" max="4" width="16" bestFit="1" customWidth="1"/>
    <col min="5" max="5" width="15.140625" style="12" bestFit="1" customWidth="1"/>
    <col min="6" max="6" width="18.28515625" bestFit="1" customWidth="1"/>
    <col min="7" max="7" width="18" bestFit="1" customWidth="1"/>
    <col min="8" max="8" width="15.85546875" style="10" bestFit="1" customWidth="1"/>
    <col min="9" max="9" width="16.140625" bestFit="1" customWidth="1"/>
    <col min="10" max="10" width="52" style="13" customWidth="1"/>
    <col min="11" max="11" width="17.5703125" bestFit="1" customWidth="1"/>
    <col min="16" max="17" width="12.7109375" bestFit="1" customWidth="1"/>
  </cols>
  <sheetData>
    <row r="1" spans="1:12" ht="15.75" x14ac:dyDescent="0.25">
      <c r="A1" s="1" t="s">
        <v>10</v>
      </c>
      <c r="B1" s="1" t="s">
        <v>0</v>
      </c>
      <c r="C1" s="1" t="s">
        <v>54</v>
      </c>
      <c r="D1" s="1" t="s">
        <v>1</v>
      </c>
      <c r="E1" s="1" t="s">
        <v>2</v>
      </c>
      <c r="F1" s="1" t="s">
        <v>4</v>
      </c>
      <c r="G1" s="1" t="s">
        <v>52</v>
      </c>
      <c r="H1" s="8" t="s">
        <v>3</v>
      </c>
      <c r="I1" s="1" t="s">
        <v>5</v>
      </c>
      <c r="J1" s="14" t="s">
        <v>6</v>
      </c>
      <c r="K1" s="1" t="s">
        <v>86</v>
      </c>
    </row>
    <row r="2" spans="1:12" x14ac:dyDescent="0.25">
      <c r="A2" s="139" t="s">
        <v>16</v>
      </c>
      <c r="B2" s="110">
        <v>416</v>
      </c>
      <c r="C2" s="139" t="s">
        <v>12</v>
      </c>
      <c r="D2" s="139" t="s">
        <v>7</v>
      </c>
      <c r="E2" s="211">
        <v>250764.65768326345</v>
      </c>
      <c r="F2" s="211">
        <v>5351.9923228285734</v>
      </c>
      <c r="G2" s="211">
        <f t="shared" ref="G2:G33" si="0">E2-F2</f>
        <v>245412.66536043488</v>
      </c>
      <c r="H2" s="139">
        <v>6818</v>
      </c>
      <c r="I2" s="214">
        <v>1665.0000000000007</v>
      </c>
      <c r="J2" s="139" t="s">
        <v>106</v>
      </c>
      <c r="K2" s="212">
        <f t="shared" ref="K2:K33" si="1">F2/E2</f>
        <v>2.1342689884108722E-2</v>
      </c>
      <c r="L2" s="142"/>
    </row>
    <row r="3" spans="1:12" x14ac:dyDescent="0.25">
      <c r="A3" s="139" t="s">
        <v>16</v>
      </c>
      <c r="B3" s="110">
        <v>460</v>
      </c>
      <c r="C3" s="139" t="s">
        <v>12</v>
      </c>
      <c r="D3" s="139" t="s">
        <v>7</v>
      </c>
      <c r="E3" s="211">
        <v>2245372.829993635</v>
      </c>
      <c r="F3" s="211">
        <v>1034817.5589223363</v>
      </c>
      <c r="G3" s="211">
        <f t="shared" si="0"/>
        <v>1210555.2710712985</v>
      </c>
      <c r="H3" s="139">
        <v>395097</v>
      </c>
      <c r="I3" s="214">
        <v>9565.0190000000039</v>
      </c>
      <c r="J3" s="139" t="s">
        <v>112</v>
      </c>
      <c r="K3" s="212">
        <f t="shared" si="1"/>
        <v>0.46086669665690655</v>
      </c>
      <c r="L3" s="142"/>
    </row>
    <row r="4" spans="1:12" x14ac:dyDescent="0.25">
      <c r="A4" s="139" t="s">
        <v>16</v>
      </c>
      <c r="B4" s="110">
        <v>464</v>
      </c>
      <c r="C4" s="139" t="s">
        <v>12</v>
      </c>
      <c r="D4" s="139" t="s">
        <v>7</v>
      </c>
      <c r="E4" s="211">
        <v>919709.48971065914</v>
      </c>
      <c r="F4" s="211">
        <v>141772.63268813721</v>
      </c>
      <c r="G4" s="211">
        <f t="shared" si="0"/>
        <v>777936.8570225219</v>
      </c>
      <c r="H4" s="139">
        <v>54608</v>
      </c>
      <c r="I4" s="214">
        <v>4819.6499999999996</v>
      </c>
      <c r="J4" s="139"/>
      <c r="K4" s="212">
        <f t="shared" si="1"/>
        <v>0.15414936376565921</v>
      </c>
      <c r="L4" s="142"/>
    </row>
    <row r="5" spans="1:12" x14ac:dyDescent="0.25">
      <c r="A5" s="139" t="s">
        <v>16</v>
      </c>
      <c r="B5" s="110">
        <v>465</v>
      </c>
      <c r="C5" s="139" t="s">
        <v>12</v>
      </c>
      <c r="D5" s="139" t="s">
        <v>7</v>
      </c>
      <c r="E5" s="211">
        <v>2145379.2843280286</v>
      </c>
      <c r="F5" s="211">
        <v>495713.35156860796</v>
      </c>
      <c r="G5" s="211">
        <f t="shared" si="0"/>
        <v>1649665.9327594205</v>
      </c>
      <c r="H5" s="139">
        <v>231204</v>
      </c>
      <c r="I5" s="214">
        <v>11820.544999999996</v>
      </c>
      <c r="J5" s="139"/>
      <c r="K5" s="212">
        <f t="shared" si="1"/>
        <v>0.23106093882316681</v>
      </c>
      <c r="L5" s="142"/>
    </row>
    <row r="6" spans="1:12" x14ac:dyDescent="0.25">
      <c r="A6" s="139" t="s">
        <v>16</v>
      </c>
      <c r="B6" s="110">
        <v>470</v>
      </c>
      <c r="C6" s="139" t="s">
        <v>12</v>
      </c>
      <c r="D6" s="139" t="s">
        <v>7</v>
      </c>
      <c r="E6" s="211">
        <v>679748.68632844498</v>
      </c>
      <c r="F6" s="211">
        <v>267353.93378234422</v>
      </c>
      <c r="G6" s="211">
        <f t="shared" si="0"/>
        <v>412394.75254610076</v>
      </c>
      <c r="H6" s="139">
        <v>103128</v>
      </c>
      <c r="I6" s="214">
        <v>3449.1490000000003</v>
      </c>
      <c r="J6" s="139"/>
      <c r="K6" s="212">
        <f t="shared" si="1"/>
        <v>0.39331290984380451</v>
      </c>
      <c r="L6" s="142"/>
    </row>
    <row r="7" spans="1:12" s="139" customFormat="1" x14ac:dyDescent="0.25">
      <c r="A7" s="139" t="s">
        <v>16</v>
      </c>
      <c r="B7" s="110">
        <v>472</v>
      </c>
      <c r="C7" s="139" t="s">
        <v>12</v>
      </c>
      <c r="D7" s="139" t="s">
        <v>7</v>
      </c>
      <c r="E7" s="211">
        <v>697527.94462215272</v>
      </c>
      <c r="F7" s="211">
        <v>222100.24874315257</v>
      </c>
      <c r="G7" s="211">
        <f t="shared" si="0"/>
        <v>475427.69587900012</v>
      </c>
      <c r="H7" s="139">
        <v>70428</v>
      </c>
      <c r="I7" s="214">
        <v>3748.1949999999997</v>
      </c>
      <c r="K7" s="212">
        <f t="shared" si="1"/>
        <v>0.31841053889742454</v>
      </c>
      <c r="L7" s="142"/>
    </row>
    <row r="8" spans="1:12" x14ac:dyDescent="0.25">
      <c r="A8" s="139" t="s">
        <v>16</v>
      </c>
      <c r="B8" s="110">
        <v>475</v>
      </c>
      <c r="C8" s="139" t="s">
        <v>12</v>
      </c>
      <c r="D8" s="139" t="s">
        <v>7</v>
      </c>
      <c r="E8" s="211">
        <v>759219.08783698268</v>
      </c>
      <c r="F8" s="211">
        <v>139956.40945427879</v>
      </c>
      <c r="G8" s="211">
        <f t="shared" si="0"/>
        <v>619262.67838270392</v>
      </c>
      <c r="H8" s="139">
        <v>57878</v>
      </c>
      <c r="I8" s="214">
        <v>4233.4490000000005</v>
      </c>
      <c r="J8" s="139"/>
      <c r="K8" s="212">
        <f t="shared" si="1"/>
        <v>0.18434258529117728</v>
      </c>
      <c r="L8" s="142"/>
    </row>
    <row r="9" spans="1:12" x14ac:dyDescent="0.25">
      <c r="A9" s="139" t="s">
        <v>16</v>
      </c>
      <c r="B9" s="110">
        <v>476</v>
      </c>
      <c r="C9" s="139" t="s">
        <v>12</v>
      </c>
      <c r="D9" s="139" t="s">
        <v>7</v>
      </c>
      <c r="E9" s="211">
        <v>892679.23542067828</v>
      </c>
      <c r="F9" s="211">
        <v>255373.17631088529</v>
      </c>
      <c r="G9" s="211">
        <f t="shared" si="0"/>
        <v>637306.05910979304</v>
      </c>
      <c r="H9" s="139">
        <v>92676</v>
      </c>
      <c r="I9" s="214">
        <v>5009.146999999999</v>
      </c>
      <c r="J9" s="139"/>
      <c r="K9" s="212">
        <f t="shared" si="1"/>
        <v>0.28607495971443736</v>
      </c>
      <c r="L9" s="142"/>
    </row>
    <row r="10" spans="1:12" x14ac:dyDescent="0.25">
      <c r="A10" s="139" t="s">
        <v>16</v>
      </c>
      <c r="B10" s="110">
        <v>477</v>
      </c>
      <c r="C10" s="139" t="s">
        <v>12</v>
      </c>
      <c r="D10" s="139" t="s">
        <v>7</v>
      </c>
      <c r="E10" s="211">
        <v>1787334.0777111806</v>
      </c>
      <c r="F10" s="211">
        <v>902981.20012595097</v>
      </c>
      <c r="G10" s="211">
        <f t="shared" si="0"/>
        <v>884352.87758522958</v>
      </c>
      <c r="H10" s="139">
        <v>349669</v>
      </c>
      <c r="I10" s="214">
        <v>8924.3990000000013</v>
      </c>
      <c r="J10" s="139"/>
      <c r="K10" s="212">
        <f t="shared" si="1"/>
        <v>0.50521120331476488</v>
      </c>
      <c r="L10" s="142"/>
    </row>
    <row r="11" spans="1:12" x14ac:dyDescent="0.25">
      <c r="A11" s="139" t="s">
        <v>16</v>
      </c>
      <c r="B11" s="110">
        <v>478</v>
      </c>
      <c r="C11" s="139" t="s">
        <v>12</v>
      </c>
      <c r="D11" s="139" t="s">
        <v>7</v>
      </c>
      <c r="E11" s="211">
        <v>618223.22251174808</v>
      </c>
      <c r="F11" s="211">
        <v>110208.09586280129</v>
      </c>
      <c r="G11" s="211">
        <f t="shared" si="0"/>
        <v>508015.12664894678</v>
      </c>
      <c r="H11" s="139">
        <v>39323</v>
      </c>
      <c r="I11" s="214">
        <v>3348.1509999999998</v>
      </c>
      <c r="J11" s="139" t="s">
        <v>113</v>
      </c>
      <c r="K11" s="212">
        <f t="shared" si="1"/>
        <v>0.17826586231271344</v>
      </c>
      <c r="L11" s="142"/>
    </row>
    <row r="12" spans="1:12" x14ac:dyDescent="0.25">
      <c r="A12" s="139" t="s">
        <v>16</v>
      </c>
      <c r="B12" s="110">
        <v>479</v>
      </c>
      <c r="C12" s="139" t="s">
        <v>12</v>
      </c>
      <c r="D12" s="139" t="s">
        <v>7</v>
      </c>
      <c r="E12" s="211">
        <v>197955.94037387747</v>
      </c>
      <c r="F12" s="211">
        <v>30896.067999121897</v>
      </c>
      <c r="G12" s="211">
        <f t="shared" si="0"/>
        <v>167059.87237475556</v>
      </c>
      <c r="H12" s="139">
        <v>11297</v>
      </c>
      <c r="I12" s="214">
        <v>1091.9480000000001</v>
      </c>
      <c r="J12" s="139"/>
      <c r="K12" s="212">
        <f t="shared" si="1"/>
        <v>0.15607547791073503</v>
      </c>
      <c r="L12" s="142"/>
    </row>
    <row r="13" spans="1:12" x14ac:dyDescent="0.25">
      <c r="A13" s="139" t="s">
        <v>16</v>
      </c>
      <c r="B13" s="110">
        <v>480</v>
      </c>
      <c r="C13" s="139" t="s">
        <v>12</v>
      </c>
      <c r="D13" s="139" t="s">
        <v>7</v>
      </c>
      <c r="E13" s="211">
        <v>945571.13104613195</v>
      </c>
      <c r="F13" s="211">
        <v>355468.09623588074</v>
      </c>
      <c r="G13" s="211">
        <f t="shared" si="0"/>
        <v>590103.03481025121</v>
      </c>
      <c r="H13" s="139">
        <v>134129</v>
      </c>
      <c r="I13" s="214">
        <v>4964.244999999999</v>
      </c>
      <c r="J13" s="139"/>
      <c r="K13" s="212">
        <f t="shared" si="1"/>
        <v>0.37592951451744183</v>
      </c>
      <c r="L13" s="142"/>
    </row>
    <row r="14" spans="1:12" x14ac:dyDescent="0.25">
      <c r="A14" s="139" t="s">
        <v>16</v>
      </c>
      <c r="B14" s="110">
        <v>484</v>
      </c>
      <c r="C14" s="139" t="s">
        <v>12</v>
      </c>
      <c r="D14" s="139" t="s">
        <v>7</v>
      </c>
      <c r="E14" s="211">
        <v>494373.06111402984</v>
      </c>
      <c r="F14" s="211">
        <v>140230.40898929286</v>
      </c>
      <c r="G14" s="211">
        <f t="shared" si="0"/>
        <v>354142.65212473698</v>
      </c>
      <c r="H14" s="139">
        <v>54999</v>
      </c>
      <c r="I14" s="214">
        <v>2626.6459999999993</v>
      </c>
      <c r="J14" s="139"/>
      <c r="K14" s="212">
        <f t="shared" si="1"/>
        <v>0.28365301433151502</v>
      </c>
      <c r="L14" s="142"/>
    </row>
    <row r="15" spans="1:12" x14ac:dyDescent="0.25">
      <c r="A15" s="139" t="s">
        <v>16</v>
      </c>
      <c r="B15" s="110">
        <v>490</v>
      </c>
      <c r="C15" s="139" t="s">
        <v>12</v>
      </c>
      <c r="D15" s="139" t="s">
        <v>7</v>
      </c>
      <c r="E15" s="211">
        <v>1071269.2566856577</v>
      </c>
      <c r="F15" s="211">
        <v>325989.70559116127</v>
      </c>
      <c r="G15" s="211">
        <f t="shared" si="0"/>
        <v>745279.55109449639</v>
      </c>
      <c r="H15" s="139">
        <v>127797</v>
      </c>
      <c r="I15" s="214">
        <v>6388.8509999999987</v>
      </c>
      <c r="J15" s="139" t="s">
        <v>114</v>
      </c>
      <c r="K15" s="212">
        <f t="shared" si="1"/>
        <v>0.30430230640588274</v>
      </c>
      <c r="L15" s="142"/>
    </row>
    <row r="16" spans="1:12" x14ac:dyDescent="0.25">
      <c r="A16" s="139" t="s">
        <v>16</v>
      </c>
      <c r="B16" s="110">
        <v>491</v>
      </c>
      <c r="C16" s="139" t="s">
        <v>12</v>
      </c>
      <c r="D16" s="139" t="s">
        <v>7</v>
      </c>
      <c r="E16" s="211">
        <v>243300.11351541901</v>
      </c>
      <c r="F16" s="211">
        <v>14296.858439140799</v>
      </c>
      <c r="G16" s="211">
        <f t="shared" si="0"/>
        <v>229003.2550762782</v>
      </c>
      <c r="H16" s="139">
        <v>7986</v>
      </c>
      <c r="I16" s="214">
        <v>1551.6489999999997</v>
      </c>
      <c r="J16" s="139" t="s">
        <v>115</v>
      </c>
      <c r="K16" s="212">
        <f t="shared" si="1"/>
        <v>5.8762234972137582E-2</v>
      </c>
      <c r="L16" s="142"/>
    </row>
    <row r="17" spans="1:12" s="139" customFormat="1" x14ac:dyDescent="0.25">
      <c r="A17" s="139" t="s">
        <v>16</v>
      </c>
      <c r="B17" s="110">
        <v>492</v>
      </c>
      <c r="C17" s="139" t="s">
        <v>12</v>
      </c>
      <c r="D17" s="139" t="s">
        <v>7</v>
      </c>
      <c r="E17" s="211">
        <v>129491.26530883087</v>
      </c>
      <c r="F17" s="211">
        <v>10520.049849383762</v>
      </c>
      <c r="G17" s="211">
        <f t="shared" si="0"/>
        <v>118971.21545944711</v>
      </c>
      <c r="H17" s="139">
        <v>3805</v>
      </c>
      <c r="I17" s="214">
        <v>956.43399999999997</v>
      </c>
      <c r="J17" s="139" t="s">
        <v>116</v>
      </c>
      <c r="K17" s="212">
        <f t="shared" si="1"/>
        <v>8.1241385851732267E-2</v>
      </c>
      <c r="L17" s="142"/>
    </row>
    <row r="18" spans="1:12" s="139" customFormat="1" x14ac:dyDescent="0.25">
      <c r="A18" s="139" t="s">
        <v>16</v>
      </c>
      <c r="B18" s="110">
        <v>493</v>
      </c>
      <c r="C18" s="139" t="s">
        <v>12</v>
      </c>
      <c r="D18" s="139" t="s">
        <v>7</v>
      </c>
      <c r="E18" s="211">
        <v>1028433.0603402476</v>
      </c>
      <c r="F18" s="211">
        <v>181005.26896017202</v>
      </c>
      <c r="G18" s="211">
        <f t="shared" si="0"/>
        <v>847427.79138007551</v>
      </c>
      <c r="H18" s="139">
        <v>72994</v>
      </c>
      <c r="I18" s="214">
        <v>5317.8940000000002</v>
      </c>
      <c r="K18" s="212">
        <f t="shared" si="1"/>
        <v>0.17600102130155956</v>
      </c>
      <c r="L18" s="142"/>
    </row>
    <row r="19" spans="1:12" s="139" customFormat="1" x14ac:dyDescent="0.25">
      <c r="A19" s="139" t="s">
        <v>16</v>
      </c>
      <c r="B19" s="110">
        <v>495</v>
      </c>
      <c r="C19" s="139" t="s">
        <v>12</v>
      </c>
      <c r="D19" s="139" t="s">
        <v>7</v>
      </c>
      <c r="E19" s="211">
        <v>1051880.9583371307</v>
      </c>
      <c r="F19" s="211">
        <v>90037.314212092009</v>
      </c>
      <c r="G19" s="211">
        <f t="shared" si="0"/>
        <v>961843.64412503876</v>
      </c>
      <c r="H19" s="139">
        <v>78774</v>
      </c>
      <c r="I19" s="214">
        <v>6689.3410000000003</v>
      </c>
      <c r="J19" s="139" t="s">
        <v>117</v>
      </c>
      <c r="K19" s="212">
        <f t="shared" si="1"/>
        <v>8.5596486464046065E-2</v>
      </c>
      <c r="L19" s="142"/>
    </row>
    <row r="20" spans="1:12" s="139" customFormat="1" x14ac:dyDescent="0.25">
      <c r="A20" s="139" t="s">
        <v>16</v>
      </c>
      <c r="B20" s="110">
        <v>465</v>
      </c>
      <c r="C20" s="139" t="s">
        <v>12</v>
      </c>
      <c r="D20" s="139" t="s">
        <v>8</v>
      </c>
      <c r="E20" s="211">
        <v>77692.432161609904</v>
      </c>
      <c r="F20" s="211">
        <v>1248.6405341114744</v>
      </c>
      <c r="G20" s="211">
        <f t="shared" si="0"/>
        <v>76443.791627498431</v>
      </c>
      <c r="H20" s="139">
        <v>883</v>
      </c>
      <c r="I20" s="214">
        <v>254.71800000000002</v>
      </c>
      <c r="K20" s="212">
        <f t="shared" si="1"/>
        <v>1.60715850871311E-2</v>
      </c>
      <c r="L20" s="142"/>
    </row>
    <row r="21" spans="1:12" s="139" customFormat="1" x14ac:dyDescent="0.25">
      <c r="A21" s="139" t="s">
        <v>16</v>
      </c>
      <c r="B21" s="110">
        <v>495</v>
      </c>
      <c r="C21" s="139" t="s">
        <v>12</v>
      </c>
      <c r="D21" s="139" t="s">
        <v>8</v>
      </c>
      <c r="E21" s="211">
        <v>238298.54153284617</v>
      </c>
      <c r="F21" s="211">
        <v>18904.892469571667</v>
      </c>
      <c r="G21" s="211">
        <f t="shared" si="0"/>
        <v>219393.6490632745</v>
      </c>
      <c r="H21" s="139">
        <v>17688</v>
      </c>
      <c r="I21" s="214">
        <v>1422.8980000000001</v>
      </c>
      <c r="J21" s="139" t="s">
        <v>117</v>
      </c>
      <c r="K21" s="212">
        <f t="shared" si="1"/>
        <v>7.9332808115260278E-2</v>
      </c>
      <c r="L21" s="142"/>
    </row>
    <row r="22" spans="1:12" s="139" customFormat="1" x14ac:dyDescent="0.25">
      <c r="A22" s="139" t="s">
        <v>16</v>
      </c>
      <c r="B22" s="110">
        <v>465</v>
      </c>
      <c r="C22" s="139" t="s">
        <v>12</v>
      </c>
      <c r="D22" s="139" t="s">
        <v>9</v>
      </c>
      <c r="E22" s="211">
        <v>83447.776197980158</v>
      </c>
      <c r="F22" s="211">
        <v>1028.260308030156</v>
      </c>
      <c r="G22" s="211">
        <f t="shared" si="0"/>
        <v>82419.515889950009</v>
      </c>
      <c r="H22" s="139">
        <v>676</v>
      </c>
      <c r="I22" s="214">
        <v>273.58600000000001</v>
      </c>
      <c r="K22" s="212">
        <f t="shared" si="1"/>
        <v>1.232220143998331E-2</v>
      </c>
      <c r="L22" s="142"/>
    </row>
    <row r="23" spans="1:12" s="139" customFormat="1" x14ac:dyDescent="0.25">
      <c r="A23" s="139" t="s">
        <v>16</v>
      </c>
      <c r="B23" s="110">
        <v>495</v>
      </c>
      <c r="C23" s="139" t="s">
        <v>12</v>
      </c>
      <c r="D23" s="139" t="s">
        <v>9</v>
      </c>
      <c r="E23" s="211">
        <v>255925.50774113712</v>
      </c>
      <c r="F23" s="211">
        <v>15518.413233593816</v>
      </c>
      <c r="G23" s="211">
        <f t="shared" si="0"/>
        <v>240407.09450754331</v>
      </c>
      <c r="H23" s="139">
        <v>16014</v>
      </c>
      <c r="I23" s="214">
        <v>1527.3590000000004</v>
      </c>
      <c r="J23" s="139" t="s">
        <v>117</v>
      </c>
      <c r="K23" s="212">
        <f t="shared" si="1"/>
        <v>6.0636446013385824E-2</v>
      </c>
      <c r="L23" s="142"/>
    </row>
    <row r="24" spans="1:12" s="139" customFormat="1" ht="15.75" x14ac:dyDescent="0.25">
      <c r="A24" s="139" t="s">
        <v>14</v>
      </c>
      <c r="B24" s="137">
        <v>742</v>
      </c>
      <c r="C24" s="137" t="s">
        <v>12</v>
      </c>
      <c r="D24" s="137" t="s">
        <v>7</v>
      </c>
      <c r="E24" s="138">
        <v>315804.85951476434</v>
      </c>
      <c r="F24" s="138">
        <v>60828.149344447069</v>
      </c>
      <c r="G24" s="6">
        <f t="shared" si="0"/>
        <v>254976.71017031727</v>
      </c>
      <c r="H24" s="138">
        <v>25861</v>
      </c>
      <c r="I24" s="138">
        <v>2082.37</v>
      </c>
      <c r="J24" s="137"/>
      <c r="K24" s="213">
        <f t="shared" si="1"/>
        <v>0.19261308846833392</v>
      </c>
      <c r="L24" s="142"/>
    </row>
    <row r="25" spans="1:12" s="139" customFormat="1" ht="15.75" x14ac:dyDescent="0.25">
      <c r="A25" s="139" t="s">
        <v>14</v>
      </c>
      <c r="B25" s="137">
        <v>747</v>
      </c>
      <c r="C25" s="137" t="s">
        <v>12</v>
      </c>
      <c r="D25" s="137" t="s">
        <v>7</v>
      </c>
      <c r="E25" s="138">
        <v>458481.7363876896</v>
      </c>
      <c r="F25" s="138">
        <v>142791.27285302681</v>
      </c>
      <c r="G25" s="6">
        <f t="shared" si="0"/>
        <v>315690.46353466279</v>
      </c>
      <c r="H25" s="138">
        <v>60736</v>
      </c>
      <c r="I25" s="138">
        <v>2762.369999999999</v>
      </c>
      <c r="J25" s="137"/>
      <c r="K25" s="213">
        <f t="shared" si="1"/>
        <v>0.31144375341547587</v>
      </c>
      <c r="L25" s="142"/>
    </row>
    <row r="26" spans="1:12" s="139" customFormat="1" ht="15.75" x14ac:dyDescent="0.25">
      <c r="A26" s="139" t="s">
        <v>14</v>
      </c>
      <c r="B26" s="137">
        <v>772</v>
      </c>
      <c r="C26" s="137" t="s">
        <v>12</v>
      </c>
      <c r="D26" s="137" t="s">
        <v>7</v>
      </c>
      <c r="E26" s="138">
        <v>287526.72877666721</v>
      </c>
      <c r="F26" s="52">
        <f>147013.90173901-13186.88</f>
        <v>133827.02173901</v>
      </c>
      <c r="G26" s="6">
        <f t="shared" si="0"/>
        <v>153699.70703765721</v>
      </c>
      <c r="H26" s="138">
        <v>62493</v>
      </c>
      <c r="I26" s="138">
        <v>2118.7000000000007</v>
      </c>
      <c r="J26" s="137"/>
      <c r="K26" s="213">
        <f t="shared" si="1"/>
        <v>0.46544202101975174</v>
      </c>
      <c r="L26" s="142"/>
    </row>
    <row r="27" spans="1:12" s="139" customFormat="1" ht="15.75" x14ac:dyDescent="0.25">
      <c r="A27" s="139" t="s">
        <v>14</v>
      </c>
      <c r="B27" s="137">
        <v>774</v>
      </c>
      <c r="C27" s="137" t="s">
        <v>12</v>
      </c>
      <c r="D27" s="137" t="s">
        <v>7</v>
      </c>
      <c r="E27" s="138">
        <f>534350.019825506+1</f>
        <v>534351.01982550602</v>
      </c>
      <c r="F27" s="138">
        <v>203747.98648970004</v>
      </c>
      <c r="G27" s="6">
        <f t="shared" si="0"/>
        <v>330603.03333580599</v>
      </c>
      <c r="H27" s="138">
        <v>86513</v>
      </c>
      <c r="I27" s="138">
        <v>4013.559999999999</v>
      </c>
      <c r="J27" s="137"/>
      <c r="K27" s="213">
        <f t="shared" si="1"/>
        <v>0.38129989263655673</v>
      </c>
      <c r="L27" s="142"/>
    </row>
    <row r="28" spans="1:12" s="139" customFormat="1" ht="15.75" x14ac:dyDescent="0.25">
      <c r="A28" s="139" t="s">
        <v>14</v>
      </c>
      <c r="B28" s="137">
        <v>776</v>
      </c>
      <c r="C28" s="137" t="s">
        <v>12</v>
      </c>
      <c r="D28" s="137" t="s">
        <v>7</v>
      </c>
      <c r="E28" s="138">
        <f>518748.588922943+1</f>
        <v>518749.58892294299</v>
      </c>
      <c r="F28" s="138">
        <v>194707.63310907615</v>
      </c>
      <c r="G28" s="6">
        <f t="shared" si="0"/>
        <v>324041.95581386681</v>
      </c>
      <c r="H28" s="138">
        <v>82710</v>
      </c>
      <c r="I28" s="138">
        <v>3636.7599999999998</v>
      </c>
      <c r="J28" s="137"/>
      <c r="K28" s="213">
        <f t="shared" si="1"/>
        <v>0.37534031306576854</v>
      </c>
      <c r="L28" s="142"/>
    </row>
    <row r="29" spans="1:12" s="139" customFormat="1" ht="15.75" x14ac:dyDescent="0.25">
      <c r="A29" s="139" t="s">
        <v>14</v>
      </c>
      <c r="B29" s="137">
        <v>777</v>
      </c>
      <c r="C29" s="137" t="s">
        <v>12</v>
      </c>
      <c r="D29" s="137" t="s">
        <v>7</v>
      </c>
      <c r="E29" s="138">
        <v>362597.27434452646</v>
      </c>
      <c r="F29" s="138">
        <v>124400.12577345855</v>
      </c>
      <c r="G29" s="6">
        <f t="shared" si="0"/>
        <v>238197.1485710679</v>
      </c>
      <c r="H29" s="138">
        <v>52891</v>
      </c>
      <c r="I29" s="138">
        <v>2569.8900000000012</v>
      </c>
      <c r="J29" s="137"/>
      <c r="K29" s="213">
        <f t="shared" si="1"/>
        <v>0.34308069744412412</v>
      </c>
      <c r="L29" s="142"/>
    </row>
    <row r="30" spans="1:12" s="139" customFormat="1" ht="15.75" x14ac:dyDescent="0.25">
      <c r="A30" s="139" t="s">
        <v>14</v>
      </c>
      <c r="B30" s="137">
        <v>790</v>
      </c>
      <c r="C30" s="137" t="s">
        <v>12</v>
      </c>
      <c r="D30" s="137" t="s">
        <v>7</v>
      </c>
      <c r="E30" s="138">
        <v>491251.44000074774</v>
      </c>
      <c r="F30" s="138">
        <v>169595.86763039883</v>
      </c>
      <c r="G30" s="6">
        <f t="shared" si="0"/>
        <v>321655.57237034891</v>
      </c>
      <c r="H30" s="138">
        <v>72086</v>
      </c>
      <c r="I30" s="138">
        <v>3754.4500000000016</v>
      </c>
      <c r="J30" s="137"/>
      <c r="K30" s="213">
        <f t="shared" si="1"/>
        <v>0.3452323063524062</v>
      </c>
      <c r="L30" s="142"/>
    </row>
    <row r="31" spans="1:12" s="139" customFormat="1" ht="15.75" x14ac:dyDescent="0.25">
      <c r="A31" s="139" t="s">
        <v>14</v>
      </c>
      <c r="B31" s="137">
        <v>793</v>
      </c>
      <c r="C31" s="137" t="s">
        <v>12</v>
      </c>
      <c r="D31" s="137" t="s">
        <v>7</v>
      </c>
      <c r="E31" s="138">
        <v>134093.28596229784</v>
      </c>
      <c r="F31" s="138">
        <v>32771.323929729973</v>
      </c>
      <c r="G31" s="6">
        <f t="shared" si="0"/>
        <v>101321.96203256787</v>
      </c>
      <c r="H31" s="138">
        <v>13936</v>
      </c>
      <c r="I31" s="138">
        <v>1013.1200000000001</v>
      </c>
      <c r="J31" s="137"/>
      <c r="K31" s="213">
        <f t="shared" si="1"/>
        <v>0.24439198200381246</v>
      </c>
      <c r="L31" s="142"/>
    </row>
    <row r="32" spans="1:12" s="139" customFormat="1" ht="15.75" x14ac:dyDescent="0.25">
      <c r="A32" s="139" t="s">
        <v>14</v>
      </c>
      <c r="B32" s="137">
        <v>795</v>
      </c>
      <c r="C32" s="137" t="s">
        <v>12</v>
      </c>
      <c r="D32" s="137" t="s">
        <v>7</v>
      </c>
      <c r="E32" s="138">
        <v>69633.772482974513</v>
      </c>
      <c r="F32" s="138">
        <v>13672.699131152982</v>
      </c>
      <c r="G32" s="6">
        <f t="shared" si="0"/>
        <v>55961.073351821527</v>
      </c>
      <c r="H32" s="138">
        <v>5805</v>
      </c>
      <c r="I32" s="138">
        <v>561.70000000000005</v>
      </c>
      <c r="J32" s="137"/>
      <c r="K32" s="213">
        <f t="shared" si="1"/>
        <v>0.19635154959464479</v>
      </c>
      <c r="L32" s="142"/>
    </row>
    <row r="33" spans="1:12" s="139" customFormat="1" ht="15.75" x14ac:dyDescent="0.25">
      <c r="A33" s="139" t="s">
        <v>11</v>
      </c>
      <c r="B33" s="137">
        <v>780</v>
      </c>
      <c r="C33" s="139" t="s">
        <v>12</v>
      </c>
      <c r="D33" s="215" t="s">
        <v>7</v>
      </c>
      <c r="E33" s="140">
        <v>298369.42088851391</v>
      </c>
      <c r="F33" s="52">
        <v>62991.837916858407</v>
      </c>
      <c r="G33" s="52">
        <f t="shared" si="0"/>
        <v>235377.5829716555</v>
      </c>
      <c r="H33" s="216">
        <v>22535</v>
      </c>
      <c r="I33" s="5">
        <v>1547.241</v>
      </c>
      <c r="J33" s="140"/>
      <c r="K33" s="213">
        <f t="shared" si="1"/>
        <v>0.21112028749218031</v>
      </c>
      <c r="L33" s="142"/>
    </row>
    <row r="34" spans="1:12" s="139" customFormat="1" ht="15.75" x14ac:dyDescent="0.25">
      <c r="A34" s="139" t="s">
        <v>11</v>
      </c>
      <c r="B34" s="137">
        <v>781</v>
      </c>
      <c r="C34" s="139" t="s">
        <v>12</v>
      </c>
      <c r="D34" s="215" t="s">
        <v>7</v>
      </c>
      <c r="E34" s="140">
        <v>1762121.7892634284</v>
      </c>
      <c r="F34" s="52">
        <v>1145009.080955911</v>
      </c>
      <c r="G34" s="52">
        <f t="shared" ref="G34:G60" si="2">E34-F34</f>
        <v>617112.70830751746</v>
      </c>
      <c r="H34" s="138">
        <v>409621</v>
      </c>
      <c r="I34" s="5">
        <v>8267.6149999999998</v>
      </c>
      <c r="J34" s="140"/>
      <c r="K34" s="213">
        <f t="shared" ref="K34:K65" si="3">F34/E34</f>
        <v>0.64978997929225302</v>
      </c>
      <c r="L34" s="142"/>
    </row>
    <row r="35" spans="1:12" s="139" customFormat="1" ht="15.75" x14ac:dyDescent="0.25">
      <c r="A35" s="139" t="s">
        <v>11</v>
      </c>
      <c r="B35" s="137">
        <v>782</v>
      </c>
      <c r="C35" s="139" t="s">
        <v>12</v>
      </c>
      <c r="D35" s="215" t="s">
        <v>7</v>
      </c>
      <c r="E35" s="217">
        <v>462494.49670881452</v>
      </c>
      <c r="F35" s="52">
        <v>108546.66296815823</v>
      </c>
      <c r="G35" s="52">
        <f t="shared" si="2"/>
        <v>353947.83374065626</v>
      </c>
      <c r="H35" s="138">
        <v>38832</v>
      </c>
      <c r="I35" s="5">
        <v>2386.5700000000002</v>
      </c>
      <c r="J35" s="140"/>
      <c r="K35" s="213">
        <f t="shared" si="3"/>
        <v>0.23469828017542652</v>
      </c>
      <c r="L35" s="142"/>
    </row>
    <row r="36" spans="1:12" s="139" customFormat="1" ht="15.75" x14ac:dyDescent="0.25">
      <c r="A36" s="139" t="s">
        <v>11</v>
      </c>
      <c r="B36" s="137">
        <v>783</v>
      </c>
      <c r="C36" s="139" t="s">
        <v>12</v>
      </c>
      <c r="D36" s="215" t="s">
        <v>7</v>
      </c>
      <c r="E36" s="140">
        <v>461288.09653233673</v>
      </c>
      <c r="F36" s="52">
        <f>181224.177316431-9702.88</f>
        <v>171521.29731643101</v>
      </c>
      <c r="G36" s="52">
        <f t="shared" si="2"/>
        <v>289766.79921590572</v>
      </c>
      <c r="H36" s="138">
        <v>64832</v>
      </c>
      <c r="I36" s="5">
        <v>2298.0209999999997</v>
      </c>
      <c r="J36" s="140"/>
      <c r="K36" s="213">
        <f t="shared" si="3"/>
        <v>0.37183118013626698</v>
      </c>
      <c r="L36" s="142"/>
    </row>
    <row r="37" spans="1:12" s="139" customFormat="1" ht="15.75" x14ac:dyDescent="0.25">
      <c r="A37" s="139" t="s">
        <v>11</v>
      </c>
      <c r="B37" s="137">
        <v>785</v>
      </c>
      <c r="C37" s="139" t="s">
        <v>12</v>
      </c>
      <c r="D37" s="215" t="s">
        <v>7</v>
      </c>
      <c r="E37" s="140">
        <v>871112.88833368407</v>
      </c>
      <c r="F37" s="52">
        <v>660764.3934313989</v>
      </c>
      <c r="G37" s="52">
        <f t="shared" si="2"/>
        <v>210348.49490228517</v>
      </c>
      <c r="H37" s="138">
        <v>236385</v>
      </c>
      <c r="I37" s="5">
        <v>3980.2529999999997</v>
      </c>
      <c r="J37" s="140"/>
      <c r="K37" s="213">
        <f t="shared" si="3"/>
        <v>0.75852900614907426</v>
      </c>
      <c r="L37" s="142"/>
    </row>
    <row r="38" spans="1:12" s="139" customFormat="1" ht="15.75" x14ac:dyDescent="0.25">
      <c r="A38" s="139" t="s">
        <v>11</v>
      </c>
      <c r="B38" s="137">
        <v>789</v>
      </c>
      <c r="C38" s="139" t="s">
        <v>12</v>
      </c>
      <c r="D38" s="215" t="s">
        <v>7</v>
      </c>
      <c r="E38" s="140">
        <v>99602.980281398035</v>
      </c>
      <c r="F38" s="52">
        <v>52638.087411242988</v>
      </c>
      <c r="G38" s="52">
        <f t="shared" si="2"/>
        <v>46964.892870155047</v>
      </c>
      <c r="H38" s="138">
        <v>18831</v>
      </c>
      <c r="I38" s="5">
        <v>480.95600000000002</v>
      </c>
      <c r="J38" s="140"/>
      <c r="K38" s="213">
        <f t="shared" si="3"/>
        <v>0.5284790401103463</v>
      </c>
      <c r="L38" s="142"/>
    </row>
    <row r="39" spans="1:12" s="139" customFormat="1" ht="15.75" x14ac:dyDescent="0.25">
      <c r="A39" s="218" t="s">
        <v>122</v>
      </c>
      <c r="B39" s="219">
        <v>690</v>
      </c>
      <c r="C39" s="139" t="s">
        <v>12</v>
      </c>
      <c r="D39" s="220" t="s">
        <v>7</v>
      </c>
      <c r="E39" s="221">
        <v>2913803</v>
      </c>
      <c r="F39" s="221">
        <v>1000421</v>
      </c>
      <c r="G39" s="6">
        <f t="shared" si="2"/>
        <v>1913382</v>
      </c>
      <c r="H39" s="221">
        <v>350141</v>
      </c>
      <c r="I39" s="221">
        <v>11904</v>
      </c>
      <c r="K39" s="213">
        <f t="shared" si="3"/>
        <v>0.3433385853470533</v>
      </c>
      <c r="L39" s="142"/>
    </row>
    <row r="40" spans="1:12" s="139" customFormat="1" ht="15.75" x14ac:dyDescent="0.25">
      <c r="A40" s="218" t="s">
        <v>122</v>
      </c>
      <c r="B40" s="219">
        <v>691</v>
      </c>
      <c r="C40" s="139" t="s">
        <v>12</v>
      </c>
      <c r="D40" s="220" t="s">
        <v>7</v>
      </c>
      <c r="E40" s="221">
        <v>77858</v>
      </c>
      <c r="F40" s="221">
        <v>18213</v>
      </c>
      <c r="G40" s="6">
        <f t="shared" si="2"/>
        <v>59645</v>
      </c>
      <c r="H40" s="221">
        <v>8151</v>
      </c>
      <c r="I40" s="221">
        <v>271.77999999999997</v>
      </c>
      <c r="J40" s="139" t="s">
        <v>123</v>
      </c>
      <c r="K40" s="213">
        <f t="shared" si="3"/>
        <v>0.23392586503634821</v>
      </c>
      <c r="L40" s="142"/>
    </row>
    <row r="41" spans="1:12" s="139" customFormat="1" ht="15.75" x14ac:dyDescent="0.25">
      <c r="A41" s="218" t="s">
        <v>122</v>
      </c>
      <c r="B41" s="219">
        <v>692</v>
      </c>
      <c r="C41" s="139" t="s">
        <v>12</v>
      </c>
      <c r="D41" s="220" t="s">
        <v>7</v>
      </c>
      <c r="E41" s="221">
        <v>350399</v>
      </c>
      <c r="F41" s="221">
        <v>104131</v>
      </c>
      <c r="G41" s="6">
        <f t="shared" si="2"/>
        <v>246268</v>
      </c>
      <c r="H41" s="221">
        <v>35563</v>
      </c>
      <c r="I41" s="221">
        <v>1212.5</v>
      </c>
      <c r="K41" s="213">
        <f t="shared" si="3"/>
        <v>0.29717835952728178</v>
      </c>
      <c r="L41" s="142"/>
    </row>
    <row r="42" spans="1:12" s="139" customFormat="1" ht="15.75" x14ac:dyDescent="0.25">
      <c r="A42" s="218" t="s">
        <v>122</v>
      </c>
      <c r="B42" s="219">
        <v>695</v>
      </c>
      <c r="C42" s="139" t="s">
        <v>12</v>
      </c>
      <c r="D42" s="220" t="s">
        <v>7</v>
      </c>
      <c r="E42" s="221">
        <v>1079551</v>
      </c>
      <c r="F42" s="221">
        <v>235597</v>
      </c>
      <c r="G42" s="6">
        <f t="shared" si="2"/>
        <v>843954</v>
      </c>
      <c r="H42" s="221">
        <v>82670</v>
      </c>
      <c r="I42" s="221">
        <v>3639.38</v>
      </c>
      <c r="J42" s="139" t="s">
        <v>124</v>
      </c>
      <c r="K42" s="213">
        <f t="shared" si="3"/>
        <v>0.21823610000824417</v>
      </c>
      <c r="L42" s="142"/>
    </row>
    <row r="43" spans="1:12" s="139" customFormat="1" ht="15.75" x14ac:dyDescent="0.25">
      <c r="A43" s="218" t="s">
        <v>122</v>
      </c>
      <c r="B43" s="219">
        <v>697</v>
      </c>
      <c r="C43" s="139" t="s">
        <v>12</v>
      </c>
      <c r="D43" s="220" t="s">
        <v>7</v>
      </c>
      <c r="E43" s="221">
        <v>490510</v>
      </c>
      <c r="F43" s="221">
        <v>148193</v>
      </c>
      <c r="G43" s="6">
        <f t="shared" si="2"/>
        <v>342317</v>
      </c>
      <c r="H43" s="221">
        <v>51086</v>
      </c>
      <c r="I43" s="221">
        <v>1684.27</v>
      </c>
      <c r="K43" s="213">
        <f t="shared" si="3"/>
        <v>0.30212024219689709</v>
      </c>
      <c r="L43" s="142"/>
    </row>
    <row r="44" spans="1:12" s="139" customFormat="1" ht="15.75" x14ac:dyDescent="0.25">
      <c r="A44" s="218" t="s">
        <v>122</v>
      </c>
      <c r="B44" s="219">
        <v>698</v>
      </c>
      <c r="C44" s="139" t="s">
        <v>12</v>
      </c>
      <c r="D44" s="220" t="s">
        <v>7</v>
      </c>
      <c r="E44" s="221">
        <v>2480765</v>
      </c>
      <c r="F44" s="221">
        <v>455042</v>
      </c>
      <c r="G44" s="6">
        <f t="shared" si="2"/>
        <v>2025723</v>
      </c>
      <c r="H44" s="221">
        <v>186109</v>
      </c>
      <c r="I44" s="221">
        <v>10242.83</v>
      </c>
      <c r="K44" s="213">
        <f t="shared" si="3"/>
        <v>0.1834280957688455</v>
      </c>
      <c r="L44" s="142"/>
    </row>
    <row r="45" spans="1:12" s="139" customFormat="1" ht="15.75" x14ac:dyDescent="0.25">
      <c r="A45" s="218" t="s">
        <v>122</v>
      </c>
      <c r="B45" s="219">
        <v>699</v>
      </c>
      <c r="C45" s="139" t="s">
        <v>12</v>
      </c>
      <c r="D45" s="220" t="s">
        <v>7</v>
      </c>
      <c r="E45" s="221">
        <v>1386785</v>
      </c>
      <c r="F45" s="221">
        <v>412183</v>
      </c>
      <c r="G45" s="6">
        <f t="shared" si="2"/>
        <v>974602</v>
      </c>
      <c r="H45" s="221">
        <v>142741</v>
      </c>
      <c r="I45" s="221">
        <v>4873.3</v>
      </c>
      <c r="K45" s="213">
        <f t="shared" si="3"/>
        <v>0.29722199187328968</v>
      </c>
      <c r="L45" s="142"/>
    </row>
    <row r="46" spans="1:12" s="139" customFormat="1" x14ac:dyDescent="0.25">
      <c r="A46" s="139" t="s">
        <v>21</v>
      </c>
      <c r="B46" s="110">
        <v>118</v>
      </c>
      <c r="C46" s="139" t="s">
        <v>12</v>
      </c>
      <c r="D46" s="139" t="s">
        <v>7</v>
      </c>
      <c r="E46" s="211">
        <v>4516.1925537190082</v>
      </c>
      <c r="F46" s="211">
        <v>2375.514999999999</v>
      </c>
      <c r="G46" s="211">
        <f t="shared" si="2"/>
        <v>2140.6775537190092</v>
      </c>
      <c r="H46" s="139">
        <v>1244</v>
      </c>
      <c r="I46" s="139">
        <v>40.85</v>
      </c>
      <c r="K46" s="212">
        <f t="shared" si="3"/>
        <v>0.52599949442895266</v>
      </c>
      <c r="L46" s="142"/>
    </row>
    <row r="47" spans="1:12" s="139" customFormat="1" x14ac:dyDescent="0.25">
      <c r="A47" s="139" t="s">
        <v>21</v>
      </c>
      <c r="B47" s="110">
        <v>350</v>
      </c>
      <c r="C47" s="139" t="s">
        <v>12</v>
      </c>
      <c r="D47" s="139" t="s">
        <v>7</v>
      </c>
      <c r="E47" s="211">
        <v>316688.66271395248</v>
      </c>
      <c r="F47" s="211">
        <v>40428.324999999924</v>
      </c>
      <c r="G47" s="211">
        <f t="shared" si="2"/>
        <v>276260.33771395253</v>
      </c>
      <c r="H47" s="139">
        <v>30184</v>
      </c>
      <c r="I47" s="139">
        <v>1441.8139999999999</v>
      </c>
      <c r="K47" s="212">
        <f t="shared" si="3"/>
        <v>0.12765952735263092</v>
      </c>
      <c r="L47" s="142"/>
    </row>
    <row r="48" spans="1:12" s="139" customFormat="1" x14ac:dyDescent="0.25">
      <c r="A48" s="139" t="s">
        <v>21</v>
      </c>
      <c r="B48" s="110">
        <v>364</v>
      </c>
      <c r="C48" s="139" t="s">
        <v>12</v>
      </c>
      <c r="D48" s="139" t="s">
        <v>7</v>
      </c>
      <c r="E48" s="211">
        <v>93536.283924821211</v>
      </c>
      <c r="F48" s="211">
        <v>26357.37</v>
      </c>
      <c r="G48" s="211">
        <f t="shared" si="2"/>
        <v>67178.913924821216</v>
      </c>
      <c r="H48" s="139">
        <v>11962</v>
      </c>
      <c r="I48" s="139">
        <v>1175.6599999999999</v>
      </c>
      <c r="K48" s="212">
        <f t="shared" si="3"/>
        <v>0.28178765388182891</v>
      </c>
      <c r="L48" s="142"/>
    </row>
    <row r="49" spans="1:12" s="139" customFormat="1" x14ac:dyDescent="0.25">
      <c r="A49" s="139" t="s">
        <v>21</v>
      </c>
      <c r="B49" s="110">
        <v>417</v>
      </c>
      <c r="C49" s="139" t="s">
        <v>12</v>
      </c>
      <c r="D49" s="139" t="s">
        <v>7</v>
      </c>
      <c r="E49" s="211">
        <v>53156.818589019342</v>
      </c>
      <c r="F49" s="211">
        <v>6116.5890000000036</v>
      </c>
      <c r="G49" s="211">
        <f t="shared" si="2"/>
        <v>47040.229589019335</v>
      </c>
      <c r="H49" s="139">
        <v>2898</v>
      </c>
      <c r="I49" s="139">
        <v>607</v>
      </c>
      <c r="K49" s="212">
        <f t="shared" si="3"/>
        <v>0.11506687500036945</v>
      </c>
      <c r="L49" s="142"/>
    </row>
    <row r="50" spans="1:12" s="139" customFormat="1" x14ac:dyDescent="0.25">
      <c r="A50" s="139" t="s">
        <v>21</v>
      </c>
      <c r="B50" s="110">
        <v>670</v>
      </c>
      <c r="C50" s="139" t="s">
        <v>12</v>
      </c>
      <c r="D50" s="139" t="s">
        <v>7</v>
      </c>
      <c r="E50" s="211">
        <v>305742.66606030514</v>
      </c>
      <c r="F50" s="211">
        <v>94825.319000000018</v>
      </c>
      <c r="G50" s="211">
        <f t="shared" si="2"/>
        <v>210917.34706030512</v>
      </c>
      <c r="H50" s="139">
        <v>35150</v>
      </c>
      <c r="I50" s="139">
        <v>1796.3</v>
      </c>
      <c r="K50" s="212">
        <f t="shared" si="3"/>
        <v>0.31014748520998547</v>
      </c>
      <c r="L50" s="142"/>
    </row>
    <row r="51" spans="1:12" s="139" customFormat="1" x14ac:dyDescent="0.25">
      <c r="A51" s="139" t="s">
        <v>21</v>
      </c>
      <c r="B51" s="110">
        <v>671</v>
      </c>
      <c r="C51" s="139" t="s">
        <v>12</v>
      </c>
      <c r="D51" s="139" t="s">
        <v>7</v>
      </c>
      <c r="E51" s="211">
        <v>303589.37263734522</v>
      </c>
      <c r="F51" s="211">
        <v>57612.778000000006</v>
      </c>
      <c r="G51" s="211">
        <f t="shared" si="2"/>
        <v>245976.59463734523</v>
      </c>
      <c r="H51" s="139">
        <v>21345</v>
      </c>
      <c r="I51" s="139">
        <v>1783.65</v>
      </c>
      <c r="K51" s="212">
        <f t="shared" si="3"/>
        <v>0.18977205130570149</v>
      </c>
      <c r="L51" s="142"/>
    </row>
    <row r="52" spans="1:12" s="139" customFormat="1" x14ac:dyDescent="0.25">
      <c r="A52" s="139" t="s">
        <v>21</v>
      </c>
      <c r="B52" s="110">
        <v>762</v>
      </c>
      <c r="C52" s="139" t="s">
        <v>12</v>
      </c>
      <c r="D52" s="139" t="s">
        <v>7</v>
      </c>
      <c r="E52" s="211">
        <v>5129.1618165289256</v>
      </c>
      <c r="F52" s="211">
        <v>2239.9619999999977</v>
      </c>
      <c r="G52" s="211">
        <f t="shared" si="2"/>
        <v>2889.1998165289278</v>
      </c>
      <c r="H52" s="139">
        <v>1382</v>
      </c>
      <c r="I52" s="139">
        <v>46.17</v>
      </c>
      <c r="K52" s="212">
        <f t="shared" si="3"/>
        <v>0.43671111969632781</v>
      </c>
      <c r="L52" s="142"/>
    </row>
    <row r="53" spans="1:12" s="139" customFormat="1" x14ac:dyDescent="0.25">
      <c r="A53" s="139" t="s">
        <v>21</v>
      </c>
      <c r="B53" s="110" t="s">
        <v>139</v>
      </c>
      <c r="C53" s="139" t="s">
        <v>140</v>
      </c>
      <c r="D53" s="139" t="s">
        <v>46</v>
      </c>
      <c r="E53" s="223">
        <v>833156</v>
      </c>
      <c r="F53" s="223">
        <v>563125</v>
      </c>
      <c r="G53" s="224">
        <f t="shared" si="2"/>
        <v>270031</v>
      </c>
      <c r="H53" s="225">
        <v>117252</v>
      </c>
      <c r="I53" s="225">
        <v>31763</v>
      </c>
      <c r="J53" s="13"/>
      <c r="K53" s="212">
        <f t="shared" si="3"/>
        <v>0.67589383020706806</v>
      </c>
      <c r="L53" s="142"/>
    </row>
    <row r="54" spans="1:12" s="139" customFormat="1" x14ac:dyDescent="0.25">
      <c r="A54" s="139" t="s">
        <v>11</v>
      </c>
      <c r="B54" s="110" t="s">
        <v>121</v>
      </c>
      <c r="C54" s="139" t="s">
        <v>128</v>
      </c>
      <c r="D54" s="139" t="s">
        <v>46</v>
      </c>
      <c r="E54" s="211">
        <v>788759.54999999993</v>
      </c>
      <c r="F54" s="211">
        <v>52769.59</v>
      </c>
      <c r="G54" s="211">
        <f t="shared" si="2"/>
        <v>735989.96</v>
      </c>
      <c r="H54" s="139">
        <v>36568</v>
      </c>
      <c r="I54" s="214">
        <v>10913</v>
      </c>
      <c r="K54" s="212">
        <f t="shared" si="3"/>
        <v>6.690199820718494E-2</v>
      </c>
      <c r="L54" s="142"/>
    </row>
    <row r="55" spans="1:12" s="139" customFormat="1" x14ac:dyDescent="0.25">
      <c r="A55" s="139" t="s">
        <v>21</v>
      </c>
      <c r="B55" s="110" t="s">
        <v>57</v>
      </c>
      <c r="C55" s="139" t="s">
        <v>129</v>
      </c>
      <c r="D55" s="139" t="s">
        <v>46</v>
      </c>
      <c r="E55" s="211">
        <v>74512361</v>
      </c>
      <c r="F55" s="211">
        <v>7976511</v>
      </c>
      <c r="G55" s="211">
        <f t="shared" si="2"/>
        <v>66535850</v>
      </c>
      <c r="H55" s="139">
        <v>2381781</v>
      </c>
      <c r="I55" s="139">
        <v>1435798</v>
      </c>
      <c r="K55" s="212">
        <f t="shared" si="3"/>
        <v>0.1070495001493779</v>
      </c>
      <c r="L55" s="142"/>
    </row>
    <row r="56" spans="1:12" s="139" customFormat="1" ht="15.75" x14ac:dyDescent="0.25">
      <c r="A56" s="139" t="s">
        <v>14</v>
      </c>
      <c r="B56" s="137" t="s">
        <v>13</v>
      </c>
      <c r="C56" s="137" t="s">
        <v>128</v>
      </c>
      <c r="D56" s="137" t="s">
        <v>7</v>
      </c>
      <c r="E56" s="138">
        <f>1122966.20662754+2+25000</f>
        <v>1147968.2066275401</v>
      </c>
      <c r="F56" s="138">
        <v>65180.160000000003</v>
      </c>
      <c r="G56" s="6">
        <f t="shared" si="2"/>
        <v>1082788.0466275401</v>
      </c>
      <c r="H56" s="138">
        <v>27514</v>
      </c>
      <c r="I56" s="138">
        <v>9422</v>
      </c>
      <c r="J56" s="137"/>
      <c r="K56" s="213">
        <f t="shared" si="3"/>
        <v>5.6778715319550484E-2</v>
      </c>
      <c r="L56" s="142"/>
    </row>
    <row r="57" spans="1:12" s="139" customFormat="1" ht="15.75" x14ac:dyDescent="0.25">
      <c r="A57" s="218" t="s">
        <v>122</v>
      </c>
      <c r="B57" s="219" t="s">
        <v>127</v>
      </c>
      <c r="C57" s="137" t="s">
        <v>128</v>
      </c>
      <c r="D57" s="220" t="s">
        <v>7</v>
      </c>
      <c r="E57" s="221">
        <v>991034</v>
      </c>
      <c r="F57" s="221">
        <v>220638</v>
      </c>
      <c r="G57" s="6">
        <f t="shared" si="2"/>
        <v>770396</v>
      </c>
      <c r="H57" s="221">
        <v>96297</v>
      </c>
      <c r="I57" s="221">
        <v>27155.09</v>
      </c>
      <c r="K57" s="213">
        <f t="shared" si="3"/>
        <v>0.22263413767842474</v>
      </c>
      <c r="L57" s="142"/>
    </row>
    <row r="58" spans="1:12" s="139" customFormat="1" ht="15.75" x14ac:dyDescent="0.25">
      <c r="A58" s="218" t="s">
        <v>122</v>
      </c>
      <c r="B58" s="219" t="s">
        <v>127</v>
      </c>
      <c r="C58" s="137" t="s">
        <v>128</v>
      </c>
      <c r="D58" s="220" t="s">
        <v>8</v>
      </c>
      <c r="E58" s="221">
        <v>90103</v>
      </c>
      <c r="F58" s="221">
        <v>20140</v>
      </c>
      <c r="G58" s="6">
        <f t="shared" si="2"/>
        <v>69963</v>
      </c>
      <c r="H58" s="221">
        <v>6214</v>
      </c>
      <c r="I58" s="221">
        <v>2353.9499999999998</v>
      </c>
      <c r="K58" s="213">
        <f t="shared" si="3"/>
        <v>0.22352196930179904</v>
      </c>
      <c r="L58" s="142"/>
    </row>
    <row r="59" spans="1:12" s="139" customFormat="1" x14ac:dyDescent="0.25">
      <c r="A59" s="139" t="s">
        <v>21</v>
      </c>
      <c r="B59" s="110" t="s">
        <v>141</v>
      </c>
      <c r="C59" s="139" t="s">
        <v>128</v>
      </c>
      <c r="D59" s="139" t="s">
        <v>46</v>
      </c>
      <c r="E59" s="223">
        <v>7007241</v>
      </c>
      <c r="F59" s="224">
        <v>957534</v>
      </c>
      <c r="G59" s="224">
        <f t="shared" si="2"/>
        <v>6049707</v>
      </c>
      <c r="H59" s="225">
        <v>243857</v>
      </c>
      <c r="I59" s="226">
        <v>109827</v>
      </c>
      <c r="J59" s="13"/>
      <c r="K59" s="212">
        <f t="shared" si="3"/>
        <v>0.13664921757364989</v>
      </c>
      <c r="L59" s="142"/>
    </row>
    <row r="60" spans="1:12" s="139" customFormat="1" x14ac:dyDescent="0.25">
      <c r="A60" s="139" t="s">
        <v>16</v>
      </c>
      <c r="B60" s="110" t="s">
        <v>89</v>
      </c>
      <c r="C60" s="139" t="s">
        <v>90</v>
      </c>
      <c r="D60" s="139" t="s">
        <v>90</v>
      </c>
      <c r="E60" s="211">
        <v>197774.34815439294</v>
      </c>
      <c r="F60" s="211">
        <v>204123</v>
      </c>
      <c r="G60" s="211">
        <f t="shared" si="2"/>
        <v>-6348.6518456070626</v>
      </c>
      <c r="H60" s="139">
        <v>86082</v>
      </c>
      <c r="I60" s="214" t="s">
        <v>119</v>
      </c>
      <c r="K60" s="212">
        <f t="shared" si="3"/>
        <v>1.0321004817098474</v>
      </c>
      <c r="L60" s="142"/>
    </row>
    <row r="61" spans="1:12" s="139" customFormat="1" x14ac:dyDescent="0.25">
      <c r="A61" s="139" t="s">
        <v>16</v>
      </c>
      <c r="B61" s="110" t="s">
        <v>120</v>
      </c>
      <c r="C61" s="139" t="s">
        <v>90</v>
      </c>
      <c r="D61" s="139" t="s">
        <v>90</v>
      </c>
      <c r="E61" s="211" t="s">
        <v>119</v>
      </c>
      <c r="F61" s="211" t="s">
        <v>119</v>
      </c>
      <c r="G61" s="211"/>
      <c r="H61" s="139">
        <v>1532</v>
      </c>
      <c r="I61" s="214" t="s">
        <v>119</v>
      </c>
      <c r="K61" s="212" t="e">
        <f t="shared" si="3"/>
        <v>#VALUE!</v>
      </c>
      <c r="L61" s="142"/>
    </row>
    <row r="62" spans="1:12" s="139" customFormat="1" ht="30" x14ac:dyDescent="0.25">
      <c r="A62" s="218" t="s">
        <v>122</v>
      </c>
      <c r="B62" s="219">
        <v>682</v>
      </c>
      <c r="C62" s="220" t="s">
        <v>90</v>
      </c>
      <c r="D62" s="220" t="s">
        <v>90</v>
      </c>
      <c r="E62" s="221">
        <f>849268-E63</f>
        <v>133337</v>
      </c>
      <c r="F62" s="221">
        <f>350858-F63</f>
        <v>21075</v>
      </c>
      <c r="G62" s="6">
        <f t="shared" ref="G62:G93" si="4">E62-F62</f>
        <v>112262</v>
      </c>
      <c r="H62" s="221">
        <f>125214-H63</f>
        <v>16359</v>
      </c>
      <c r="I62" s="221">
        <f>2778.86-I63</f>
        <v>414.86000000000013</v>
      </c>
      <c r="J62" s="13" t="s">
        <v>126</v>
      </c>
      <c r="K62" s="213">
        <f t="shared" si="3"/>
        <v>0.15805815340078147</v>
      </c>
      <c r="L62" s="142"/>
    </row>
    <row r="63" spans="1:12" s="139" customFormat="1" ht="15.75" x14ac:dyDescent="0.25">
      <c r="A63" s="218" t="s">
        <v>122</v>
      </c>
      <c r="B63" s="219" t="s">
        <v>130</v>
      </c>
      <c r="C63" s="220" t="s">
        <v>90</v>
      </c>
      <c r="D63" s="220" t="s">
        <v>90</v>
      </c>
      <c r="E63" s="221">
        <v>715931</v>
      </c>
      <c r="F63" s="221">
        <v>329783</v>
      </c>
      <c r="G63" s="6">
        <f t="shared" si="4"/>
        <v>386148</v>
      </c>
      <c r="H63" s="221">
        <v>108855</v>
      </c>
      <c r="I63" s="221">
        <v>2364</v>
      </c>
      <c r="J63" s="13" t="s">
        <v>88</v>
      </c>
      <c r="K63" s="213">
        <f t="shared" si="3"/>
        <v>0.46063517294264389</v>
      </c>
      <c r="L63" s="142"/>
    </row>
    <row r="64" spans="1:12" s="139" customFormat="1" x14ac:dyDescent="0.25">
      <c r="A64" s="139" t="s">
        <v>16</v>
      </c>
      <c r="B64" s="110">
        <v>420</v>
      </c>
      <c r="C64" s="139" t="s">
        <v>20</v>
      </c>
      <c r="D64" s="139" t="s">
        <v>7</v>
      </c>
      <c r="E64" s="211">
        <v>362762.45666615583</v>
      </c>
      <c r="F64" s="211">
        <v>19013.718688996662</v>
      </c>
      <c r="G64" s="211">
        <f t="shared" si="4"/>
        <v>343748.73797715915</v>
      </c>
      <c r="H64" s="139">
        <v>17255</v>
      </c>
      <c r="I64" s="214">
        <v>3745.8599999999992</v>
      </c>
      <c r="J64" s="139" t="s">
        <v>107</v>
      </c>
      <c r="K64" s="212">
        <f t="shared" si="3"/>
        <v>5.2413689287848952E-2</v>
      </c>
      <c r="L64" s="142"/>
    </row>
    <row r="65" spans="1:12" s="139" customFormat="1" x14ac:dyDescent="0.25">
      <c r="A65" s="139" t="s">
        <v>16</v>
      </c>
      <c r="B65" s="110">
        <v>421</v>
      </c>
      <c r="C65" s="139" t="s">
        <v>20</v>
      </c>
      <c r="D65" s="139" t="s">
        <v>7</v>
      </c>
      <c r="E65" s="211">
        <v>108447.03465111906</v>
      </c>
      <c r="F65" s="211">
        <v>4208.3631571873939</v>
      </c>
      <c r="G65" s="211">
        <f t="shared" si="4"/>
        <v>104238.67149393166</v>
      </c>
      <c r="H65" s="139">
        <v>4858</v>
      </c>
      <c r="I65" s="214">
        <v>1164.3059999999998</v>
      </c>
      <c r="K65" s="212">
        <f t="shared" si="3"/>
        <v>3.8805700595926508E-2</v>
      </c>
      <c r="L65" s="142"/>
    </row>
    <row r="66" spans="1:12" s="139" customFormat="1" x14ac:dyDescent="0.25">
      <c r="A66" s="139" t="s">
        <v>16</v>
      </c>
      <c r="B66" s="110">
        <v>426</v>
      </c>
      <c r="C66" s="139" t="s">
        <v>20</v>
      </c>
      <c r="D66" s="139" t="s">
        <v>7</v>
      </c>
      <c r="E66" s="211">
        <v>129061.9401128797</v>
      </c>
      <c r="F66" s="211">
        <v>10994.270675022966</v>
      </c>
      <c r="G66" s="211">
        <f t="shared" si="4"/>
        <v>118067.66943785673</v>
      </c>
      <c r="H66" s="139">
        <v>8052</v>
      </c>
      <c r="I66" s="214">
        <v>810.61199999999985</v>
      </c>
      <c r="K66" s="212">
        <f t="shared" ref="K66:K97" si="5">F66/E66</f>
        <v>8.5186001894959854E-2</v>
      </c>
      <c r="L66" s="142"/>
    </row>
    <row r="67" spans="1:12" s="139" customFormat="1" x14ac:dyDescent="0.25">
      <c r="A67" s="139" t="s">
        <v>16</v>
      </c>
      <c r="B67" s="110">
        <v>436</v>
      </c>
      <c r="C67" s="139" t="s">
        <v>20</v>
      </c>
      <c r="D67" s="139" t="s">
        <v>7</v>
      </c>
      <c r="E67" s="211">
        <v>266334.2328573307</v>
      </c>
      <c r="F67" s="211">
        <v>32872.574151921282</v>
      </c>
      <c r="G67" s="211">
        <f t="shared" si="4"/>
        <v>233461.65870540941</v>
      </c>
      <c r="H67" s="139">
        <v>27011</v>
      </c>
      <c r="I67" s="214">
        <v>1199.4480000000001</v>
      </c>
      <c r="J67" s="139" t="s">
        <v>108</v>
      </c>
      <c r="K67" s="212">
        <f t="shared" si="5"/>
        <v>0.12342601925127059</v>
      </c>
      <c r="L67" s="142"/>
    </row>
    <row r="68" spans="1:12" s="139" customFormat="1" x14ac:dyDescent="0.25">
      <c r="A68" s="139" t="s">
        <v>16</v>
      </c>
      <c r="B68" s="110">
        <v>440</v>
      </c>
      <c r="C68" s="139" t="s">
        <v>20</v>
      </c>
      <c r="D68" s="139" t="s">
        <v>7</v>
      </c>
      <c r="E68" s="211">
        <v>934007.0422128588</v>
      </c>
      <c r="F68" s="211">
        <v>58864.513032416362</v>
      </c>
      <c r="G68" s="211">
        <f t="shared" si="4"/>
        <v>875142.52918044245</v>
      </c>
      <c r="H68" s="139">
        <v>43965</v>
      </c>
      <c r="I68" s="214">
        <v>6859.3990000000013</v>
      </c>
      <c r="J68" s="139" t="s">
        <v>109</v>
      </c>
      <c r="K68" s="212">
        <f t="shared" si="5"/>
        <v>6.3023628700865003E-2</v>
      </c>
      <c r="L68" s="142"/>
    </row>
    <row r="69" spans="1:12" s="139" customFormat="1" x14ac:dyDescent="0.25">
      <c r="A69" s="139" t="s">
        <v>16</v>
      </c>
      <c r="B69" s="110">
        <v>442</v>
      </c>
      <c r="C69" s="139" t="s">
        <v>20</v>
      </c>
      <c r="D69" s="139" t="s">
        <v>7</v>
      </c>
      <c r="E69" s="211">
        <v>516024.01324438548</v>
      </c>
      <c r="F69" s="211">
        <v>24249.415747149993</v>
      </c>
      <c r="G69" s="211">
        <f t="shared" si="4"/>
        <v>491774.59749723552</v>
      </c>
      <c r="H69" s="139">
        <v>26968</v>
      </c>
      <c r="I69" s="214">
        <v>5846.1049999999996</v>
      </c>
      <c r="J69" s="139" t="s">
        <v>110</v>
      </c>
      <c r="K69" s="212">
        <f t="shared" si="5"/>
        <v>4.6992804840005835E-2</v>
      </c>
      <c r="L69" s="142"/>
    </row>
    <row r="70" spans="1:12" s="139" customFormat="1" x14ac:dyDescent="0.25">
      <c r="A70" s="139" t="s">
        <v>16</v>
      </c>
      <c r="B70" s="110">
        <v>444</v>
      </c>
      <c r="C70" s="139" t="s">
        <v>20</v>
      </c>
      <c r="D70" s="139" t="s">
        <v>7</v>
      </c>
      <c r="E70" s="211">
        <v>1771233.7423037621</v>
      </c>
      <c r="F70" s="211">
        <v>201456.16592191972</v>
      </c>
      <c r="G70" s="211">
        <f t="shared" si="4"/>
        <v>1569777.5763818424</v>
      </c>
      <c r="H70" s="139">
        <v>197660</v>
      </c>
      <c r="I70" s="214">
        <v>14040.740999999995</v>
      </c>
      <c r="K70" s="212">
        <f t="shared" si="5"/>
        <v>0.11373776431104737</v>
      </c>
      <c r="L70" s="142"/>
    </row>
    <row r="71" spans="1:12" s="139" customFormat="1" x14ac:dyDescent="0.25">
      <c r="A71" s="139" t="s">
        <v>16</v>
      </c>
      <c r="B71" s="110" t="s">
        <v>15</v>
      </c>
      <c r="C71" s="139" t="s">
        <v>20</v>
      </c>
      <c r="D71" s="139" t="s">
        <v>7</v>
      </c>
      <c r="E71" s="211">
        <v>1057228.5060972855</v>
      </c>
      <c r="F71" s="211">
        <v>92356.556821736594</v>
      </c>
      <c r="G71" s="211">
        <f t="shared" si="4"/>
        <v>964871.94927554892</v>
      </c>
      <c r="H71" s="139">
        <v>79444</v>
      </c>
      <c r="I71" s="214">
        <v>8697.4569999999967</v>
      </c>
      <c r="J71" s="139" t="s">
        <v>111</v>
      </c>
      <c r="K71" s="212">
        <f t="shared" si="5"/>
        <v>8.7357232886830616E-2</v>
      </c>
      <c r="L71" s="142"/>
    </row>
    <row r="72" spans="1:12" s="139" customFormat="1" x14ac:dyDescent="0.25">
      <c r="A72" s="139" t="s">
        <v>16</v>
      </c>
      <c r="B72" s="110">
        <v>446</v>
      </c>
      <c r="C72" s="139" t="s">
        <v>20</v>
      </c>
      <c r="D72" s="139" t="s">
        <v>7</v>
      </c>
      <c r="E72" s="211">
        <v>952507.10127239709</v>
      </c>
      <c r="F72" s="211">
        <v>92146.925797107731</v>
      </c>
      <c r="G72" s="211">
        <f t="shared" si="4"/>
        <v>860360.17547528935</v>
      </c>
      <c r="H72" s="139">
        <v>77552</v>
      </c>
      <c r="I72" s="214">
        <v>7306.3999999999987</v>
      </c>
      <c r="K72" s="212">
        <f t="shared" si="5"/>
        <v>9.6741458067886504E-2</v>
      </c>
      <c r="L72" s="142"/>
    </row>
    <row r="73" spans="1:12" s="139" customFormat="1" x14ac:dyDescent="0.25">
      <c r="A73" s="139" t="s">
        <v>16</v>
      </c>
      <c r="B73" s="110">
        <v>489</v>
      </c>
      <c r="C73" s="139" t="s">
        <v>20</v>
      </c>
      <c r="D73" s="139" t="s">
        <v>7</v>
      </c>
      <c r="E73" s="211">
        <v>216834.39186915275</v>
      </c>
      <c r="F73" s="211">
        <v>31305.813871892198</v>
      </c>
      <c r="G73" s="211">
        <f t="shared" si="4"/>
        <v>185528.57799726055</v>
      </c>
      <c r="H73" s="139">
        <v>16106</v>
      </c>
      <c r="I73" s="214">
        <v>1264.4939999999999</v>
      </c>
      <c r="K73" s="212">
        <f t="shared" si="5"/>
        <v>0.14437660742850922</v>
      </c>
      <c r="L73" s="142"/>
    </row>
    <row r="74" spans="1:12" s="139" customFormat="1" x14ac:dyDescent="0.25">
      <c r="A74" s="139" t="s">
        <v>16</v>
      </c>
      <c r="B74" s="110">
        <v>497</v>
      </c>
      <c r="C74" s="139" t="s">
        <v>20</v>
      </c>
      <c r="D74" s="139" t="s">
        <v>7</v>
      </c>
      <c r="E74" s="211">
        <v>291071.68167129235</v>
      </c>
      <c r="F74" s="211">
        <v>16715.284691273562</v>
      </c>
      <c r="G74" s="211">
        <f t="shared" si="4"/>
        <v>274356.39698001876</v>
      </c>
      <c r="H74" s="139">
        <v>17299</v>
      </c>
      <c r="I74" s="214">
        <v>3074.3990000000003</v>
      </c>
      <c r="J74" s="139" t="s">
        <v>118</v>
      </c>
      <c r="K74" s="212">
        <f t="shared" si="5"/>
        <v>5.7426695016487922E-2</v>
      </c>
      <c r="L74" s="142"/>
    </row>
    <row r="75" spans="1:12" s="139" customFormat="1" x14ac:dyDescent="0.25">
      <c r="A75" s="139" t="s">
        <v>16</v>
      </c>
      <c r="B75" s="110">
        <v>499</v>
      </c>
      <c r="C75" s="139" t="s">
        <v>20</v>
      </c>
      <c r="D75" s="139" t="s">
        <v>7</v>
      </c>
      <c r="E75" s="211">
        <v>303920.07324174512</v>
      </c>
      <c r="F75" s="211">
        <v>15030.131177130872</v>
      </c>
      <c r="G75" s="211">
        <f t="shared" si="4"/>
        <v>288889.94206461427</v>
      </c>
      <c r="H75" s="139">
        <v>14635</v>
      </c>
      <c r="I75" s="214">
        <v>3070.407999999999</v>
      </c>
      <c r="K75" s="212">
        <f t="shared" si="5"/>
        <v>4.9454223331854605E-2</v>
      </c>
      <c r="L75" s="142"/>
    </row>
    <row r="76" spans="1:12" s="139" customFormat="1" x14ac:dyDescent="0.25">
      <c r="A76" s="139" t="s">
        <v>16</v>
      </c>
      <c r="B76" s="110">
        <v>420</v>
      </c>
      <c r="C76" s="139" t="s">
        <v>20</v>
      </c>
      <c r="D76" s="139" t="s">
        <v>8</v>
      </c>
      <c r="E76" s="211">
        <v>6434.6079755216415</v>
      </c>
      <c r="F76" s="211">
        <v>0</v>
      </c>
      <c r="G76" s="211">
        <f t="shared" si="4"/>
        <v>6434.6079755216415</v>
      </c>
      <c r="H76" s="139">
        <v>124</v>
      </c>
      <c r="I76" s="214">
        <v>45.035999999999987</v>
      </c>
      <c r="K76" s="212">
        <f t="shared" si="5"/>
        <v>0</v>
      </c>
      <c r="L76" s="142"/>
    </row>
    <row r="77" spans="1:12" s="139" customFormat="1" x14ac:dyDescent="0.25">
      <c r="A77" s="139" t="s">
        <v>16</v>
      </c>
      <c r="B77" s="110">
        <v>440</v>
      </c>
      <c r="C77" s="139" t="s">
        <v>20</v>
      </c>
      <c r="D77" s="139" t="s">
        <v>8</v>
      </c>
      <c r="E77" s="211">
        <v>121826.26334496499</v>
      </c>
      <c r="F77" s="211">
        <v>4875.5245877085272</v>
      </c>
      <c r="G77" s="211">
        <f t="shared" si="4"/>
        <v>116950.73875725646</v>
      </c>
      <c r="H77" s="139">
        <v>5405</v>
      </c>
      <c r="I77" s="214">
        <v>970.12799999999993</v>
      </c>
      <c r="J77" s="139" t="s">
        <v>109</v>
      </c>
      <c r="K77" s="212">
        <f t="shared" si="5"/>
        <v>4.0020308050513889E-2</v>
      </c>
      <c r="L77" s="142"/>
    </row>
    <row r="78" spans="1:12" s="139" customFormat="1" x14ac:dyDescent="0.25">
      <c r="A78" s="139" t="s">
        <v>16</v>
      </c>
      <c r="B78" s="110">
        <v>442</v>
      </c>
      <c r="C78" s="139" t="s">
        <v>20</v>
      </c>
      <c r="D78" s="139" t="s">
        <v>8</v>
      </c>
      <c r="E78" s="211">
        <v>71671.875433777808</v>
      </c>
      <c r="F78" s="211">
        <v>2501.9961127943934</v>
      </c>
      <c r="G78" s="211">
        <f t="shared" si="4"/>
        <v>69169.879320983411</v>
      </c>
      <c r="H78" s="139">
        <v>2743</v>
      </c>
      <c r="I78" s="214">
        <v>594.21599999999989</v>
      </c>
      <c r="J78" s="139" t="s">
        <v>110</v>
      </c>
      <c r="K78" s="212">
        <f t="shared" si="5"/>
        <v>3.4909036461675209E-2</v>
      </c>
      <c r="L78" s="142"/>
    </row>
    <row r="79" spans="1:12" s="139" customFormat="1" x14ac:dyDescent="0.25">
      <c r="A79" s="139" t="s">
        <v>16</v>
      </c>
      <c r="B79" s="110">
        <v>444</v>
      </c>
      <c r="C79" s="139" t="s">
        <v>20</v>
      </c>
      <c r="D79" s="139" t="s">
        <v>8</v>
      </c>
      <c r="E79" s="211">
        <v>180009.46072422079</v>
      </c>
      <c r="F79" s="211">
        <v>22609.697783072643</v>
      </c>
      <c r="G79" s="211">
        <f t="shared" si="4"/>
        <v>157399.76294114813</v>
      </c>
      <c r="H79" s="139">
        <v>24242</v>
      </c>
      <c r="I79" s="214">
        <v>1293.0839999999998</v>
      </c>
      <c r="K79" s="212">
        <f t="shared" si="5"/>
        <v>0.1256028304962887</v>
      </c>
      <c r="L79" s="142"/>
    </row>
    <row r="80" spans="1:12" s="139" customFormat="1" x14ac:dyDescent="0.25">
      <c r="A80" s="139" t="s">
        <v>16</v>
      </c>
      <c r="B80" s="110">
        <v>445</v>
      </c>
      <c r="C80" s="139" t="s">
        <v>20</v>
      </c>
      <c r="D80" s="139" t="s">
        <v>8</v>
      </c>
      <c r="E80" s="211">
        <v>104288.22141648406</v>
      </c>
      <c r="F80" s="211">
        <v>7129.5003799250371</v>
      </c>
      <c r="G80" s="211">
        <f t="shared" si="4"/>
        <v>97158.721036559014</v>
      </c>
      <c r="H80" s="139">
        <v>8093</v>
      </c>
      <c r="I80" s="214">
        <v>829.548</v>
      </c>
      <c r="K80" s="212">
        <f t="shared" si="5"/>
        <v>6.8363428612448568E-2</v>
      </c>
      <c r="L80" s="142"/>
    </row>
    <row r="81" spans="1:12" s="139" customFormat="1" x14ac:dyDescent="0.25">
      <c r="A81" s="139" t="s">
        <v>16</v>
      </c>
      <c r="B81" s="110">
        <v>420</v>
      </c>
      <c r="C81" s="139" t="s">
        <v>20</v>
      </c>
      <c r="D81" s="139" t="s">
        <v>9</v>
      </c>
      <c r="E81" s="211">
        <v>6434.6079755216415</v>
      </c>
      <c r="F81" s="211">
        <v>0</v>
      </c>
      <c r="G81" s="211">
        <f t="shared" si="4"/>
        <v>6434.6079755216415</v>
      </c>
      <c r="H81" s="139">
        <v>76</v>
      </c>
      <c r="I81" s="214">
        <v>45.035999999999987</v>
      </c>
      <c r="K81" s="212">
        <f t="shared" si="5"/>
        <v>0</v>
      </c>
      <c r="L81" s="142"/>
    </row>
    <row r="82" spans="1:12" s="139" customFormat="1" x14ac:dyDescent="0.25">
      <c r="A82" s="139" t="s">
        <v>16</v>
      </c>
      <c r="B82" s="110">
        <v>440</v>
      </c>
      <c r="C82" s="139" t="s">
        <v>20</v>
      </c>
      <c r="D82" s="139" t="s">
        <v>9</v>
      </c>
      <c r="E82" s="211">
        <v>131051.4362813616</v>
      </c>
      <c r="F82" s="211">
        <v>3721.1190142338091</v>
      </c>
      <c r="G82" s="211">
        <f t="shared" si="4"/>
        <v>127330.3172671278</v>
      </c>
      <c r="H82" s="139">
        <v>4258</v>
      </c>
      <c r="I82" s="214">
        <v>1043.8119999999999</v>
      </c>
      <c r="J82" s="139" t="s">
        <v>109</v>
      </c>
      <c r="K82" s="212">
        <f t="shared" si="5"/>
        <v>2.8394339809025306E-2</v>
      </c>
      <c r="L82" s="142"/>
    </row>
    <row r="83" spans="1:12" s="139" customFormat="1" x14ac:dyDescent="0.25">
      <c r="A83" s="139" t="s">
        <v>16</v>
      </c>
      <c r="B83" s="110">
        <v>442</v>
      </c>
      <c r="C83" s="139" t="s">
        <v>20</v>
      </c>
      <c r="D83" s="139" t="s">
        <v>9</v>
      </c>
      <c r="E83" s="211">
        <v>77473.102057322016</v>
      </c>
      <c r="F83" s="211">
        <v>1849.6347550010557</v>
      </c>
      <c r="G83" s="211">
        <f t="shared" si="4"/>
        <v>75623.467302320962</v>
      </c>
      <c r="H83" s="139">
        <v>2285</v>
      </c>
      <c r="I83" s="214">
        <v>642.53199999999993</v>
      </c>
      <c r="J83" s="139" t="s">
        <v>110</v>
      </c>
      <c r="K83" s="212">
        <f t="shared" si="5"/>
        <v>2.3874541045645997E-2</v>
      </c>
    </row>
    <row r="84" spans="1:12" s="139" customFormat="1" x14ac:dyDescent="0.25">
      <c r="A84" s="139" t="s">
        <v>16</v>
      </c>
      <c r="B84" s="110">
        <v>444</v>
      </c>
      <c r="C84" s="139" t="s">
        <v>20</v>
      </c>
      <c r="D84" s="139" t="s">
        <v>9</v>
      </c>
      <c r="E84" s="211">
        <v>193344.99848546609</v>
      </c>
      <c r="F84" s="211">
        <v>18596.366448256955</v>
      </c>
      <c r="G84" s="211">
        <f t="shared" si="4"/>
        <v>174748.63203720914</v>
      </c>
      <c r="H84" s="139">
        <v>19564</v>
      </c>
      <c r="I84" s="214">
        <v>1388.8679999999999</v>
      </c>
      <c r="K84" s="212">
        <f t="shared" si="5"/>
        <v>9.6182298967794913E-2</v>
      </c>
    </row>
    <row r="85" spans="1:12" s="139" customFormat="1" x14ac:dyDescent="0.25">
      <c r="A85" s="139" t="s">
        <v>16</v>
      </c>
      <c r="B85" s="110">
        <v>445</v>
      </c>
      <c r="C85" s="139" t="s">
        <v>20</v>
      </c>
      <c r="D85" s="139" t="s">
        <v>9</v>
      </c>
      <c r="E85" s="211">
        <v>112011.98144893027</v>
      </c>
      <c r="F85" s="211">
        <v>5885.7305823760789</v>
      </c>
      <c r="G85" s="211">
        <f t="shared" si="4"/>
        <v>106126.25086655418</v>
      </c>
      <c r="H85" s="139">
        <v>6711</v>
      </c>
      <c r="I85" s="214">
        <v>890.99599999999987</v>
      </c>
      <c r="K85" s="212">
        <f t="shared" si="5"/>
        <v>5.2545544737636535E-2</v>
      </c>
    </row>
    <row r="86" spans="1:12" s="139" customFormat="1" ht="15.75" x14ac:dyDescent="0.25">
      <c r="A86" s="139" t="s">
        <v>14</v>
      </c>
      <c r="B86" s="137">
        <v>740</v>
      </c>
      <c r="C86" s="139" t="s">
        <v>20</v>
      </c>
      <c r="D86" s="137" t="s">
        <v>7</v>
      </c>
      <c r="E86" s="138">
        <v>108368.80419761772</v>
      </c>
      <c r="F86" s="138">
        <v>0</v>
      </c>
      <c r="G86" s="6">
        <f t="shared" si="4"/>
        <v>108368.80419761772</v>
      </c>
      <c r="H86" s="138">
        <v>8052</v>
      </c>
      <c r="I86" s="138">
        <v>874.92999999999961</v>
      </c>
      <c r="J86" s="137"/>
      <c r="K86" s="213">
        <f t="shared" si="5"/>
        <v>0</v>
      </c>
    </row>
    <row r="87" spans="1:12" s="139" customFormat="1" ht="15.75" x14ac:dyDescent="0.25">
      <c r="A87" s="139" t="s">
        <v>14</v>
      </c>
      <c r="B87" s="137">
        <v>741</v>
      </c>
      <c r="C87" s="139" t="s">
        <v>20</v>
      </c>
      <c r="D87" s="137" t="s">
        <v>7</v>
      </c>
      <c r="E87" s="138">
        <v>130668.15266576959</v>
      </c>
      <c r="F87" s="138">
        <v>0</v>
      </c>
      <c r="G87" s="6">
        <f t="shared" si="4"/>
        <v>130668.15266576959</v>
      </c>
      <c r="H87" s="138">
        <v>8681</v>
      </c>
      <c r="I87" s="138">
        <v>1083.0600000000002</v>
      </c>
      <c r="J87" s="137"/>
      <c r="K87" s="213">
        <f t="shared" si="5"/>
        <v>0</v>
      </c>
    </row>
    <row r="88" spans="1:12" s="139" customFormat="1" ht="15.75" x14ac:dyDescent="0.25">
      <c r="A88" s="139" t="s">
        <v>14</v>
      </c>
      <c r="B88" s="137">
        <v>771</v>
      </c>
      <c r="C88" s="139" t="s">
        <v>20</v>
      </c>
      <c r="D88" s="137" t="s">
        <v>7</v>
      </c>
      <c r="E88" s="138">
        <v>157491.96879277425</v>
      </c>
      <c r="F88" s="52">
        <f>(H88/2)*3.25</f>
        <v>13186.875</v>
      </c>
      <c r="G88" s="6">
        <f t="shared" si="4"/>
        <v>144305.09379277425</v>
      </c>
      <c r="H88" s="138">
        <v>8115</v>
      </c>
      <c r="I88" s="138">
        <v>1141.19</v>
      </c>
      <c r="J88" s="137"/>
      <c r="K88" s="213">
        <f t="shared" si="5"/>
        <v>8.3730460042385449E-2</v>
      </c>
    </row>
    <row r="89" spans="1:12" s="139" customFormat="1" ht="15.75" x14ac:dyDescent="0.25">
      <c r="A89" s="139" t="s">
        <v>14</v>
      </c>
      <c r="B89" s="137">
        <v>791</v>
      </c>
      <c r="C89" s="139" t="s">
        <v>20</v>
      </c>
      <c r="D89" s="137" t="s">
        <v>7</v>
      </c>
      <c r="E89" s="138">
        <v>94882.812070833024</v>
      </c>
      <c r="F89" s="138">
        <v>0</v>
      </c>
      <c r="G89" s="6">
        <f t="shared" si="4"/>
        <v>94882.812070833024</v>
      </c>
      <c r="H89" s="138">
        <v>3944</v>
      </c>
      <c r="I89" s="138">
        <v>752.7199999999998</v>
      </c>
      <c r="J89" s="137"/>
      <c r="K89" s="213">
        <f t="shared" si="5"/>
        <v>0</v>
      </c>
    </row>
    <row r="90" spans="1:12" s="139" customFormat="1" ht="15.75" x14ac:dyDescent="0.25">
      <c r="A90" s="139" t="s">
        <v>11</v>
      </c>
      <c r="B90" s="137">
        <v>787</v>
      </c>
      <c r="C90" s="139" t="s">
        <v>20</v>
      </c>
      <c r="D90" s="215" t="s">
        <v>7</v>
      </c>
      <c r="E90" s="140">
        <v>55620.166440344947</v>
      </c>
      <c r="F90" s="52">
        <v>0</v>
      </c>
      <c r="G90" s="52">
        <f t="shared" si="4"/>
        <v>55620.166440344947</v>
      </c>
      <c r="H90" s="138">
        <v>3093</v>
      </c>
      <c r="I90" s="5">
        <v>224</v>
      </c>
      <c r="J90" s="140"/>
      <c r="K90" s="213">
        <f t="shared" si="5"/>
        <v>0</v>
      </c>
    </row>
    <row r="91" spans="1:12" s="139" customFormat="1" ht="15.75" x14ac:dyDescent="0.25">
      <c r="A91" s="139" t="s">
        <v>11</v>
      </c>
      <c r="B91" s="137">
        <v>788</v>
      </c>
      <c r="C91" s="139" t="s">
        <v>20</v>
      </c>
      <c r="D91" s="215" t="s">
        <v>7</v>
      </c>
      <c r="E91" s="140">
        <v>75462.575965179363</v>
      </c>
      <c r="F91" s="52">
        <v>9702.875</v>
      </c>
      <c r="G91" s="52">
        <f t="shared" si="4"/>
        <v>65759.700965179363</v>
      </c>
      <c r="H91" s="138">
        <v>5971</v>
      </c>
      <c r="I91" s="5">
        <v>494</v>
      </c>
      <c r="J91" s="140"/>
      <c r="K91" s="213">
        <f t="shared" si="5"/>
        <v>0.12857863485176002</v>
      </c>
    </row>
    <row r="92" spans="1:12" s="139" customFormat="1" ht="45" x14ac:dyDescent="0.25">
      <c r="A92" s="218" t="s">
        <v>122</v>
      </c>
      <c r="B92" s="219" t="s">
        <v>87</v>
      </c>
      <c r="C92" s="220" t="s">
        <v>20</v>
      </c>
      <c r="D92" s="220" t="s">
        <v>7</v>
      </c>
      <c r="E92" s="221">
        <v>839951</v>
      </c>
      <c r="F92" s="221">
        <v>99146</v>
      </c>
      <c r="G92" s="6">
        <f t="shared" si="4"/>
        <v>740805</v>
      </c>
      <c r="H92" s="221">
        <v>40219</v>
      </c>
      <c r="I92" s="221">
        <v>3938.74</v>
      </c>
      <c r="J92" s="13" t="s">
        <v>125</v>
      </c>
      <c r="K92" s="213">
        <f t="shared" si="5"/>
        <v>0.1180378379214978</v>
      </c>
    </row>
    <row r="93" spans="1:12" s="139" customFormat="1" x14ac:dyDescent="0.25">
      <c r="A93" s="139" t="s">
        <v>21</v>
      </c>
      <c r="B93" s="110">
        <v>219</v>
      </c>
      <c r="C93" s="139" t="s">
        <v>20</v>
      </c>
      <c r="D93" s="139" t="s">
        <v>8</v>
      </c>
      <c r="E93" s="211">
        <v>103077.01138415447</v>
      </c>
      <c r="F93" s="211">
        <v>12533.863000000008</v>
      </c>
      <c r="G93" s="211">
        <f t="shared" si="4"/>
        <v>90543.148384154454</v>
      </c>
      <c r="H93" s="139">
        <v>9987</v>
      </c>
      <c r="I93" s="139">
        <v>1342.2</v>
      </c>
      <c r="K93" s="212">
        <f t="shared" si="5"/>
        <v>0.12159707418454295</v>
      </c>
    </row>
    <row r="94" spans="1:12" s="139" customFormat="1" x14ac:dyDescent="0.25">
      <c r="A94" s="139" t="s">
        <v>21</v>
      </c>
      <c r="B94" s="110">
        <v>225</v>
      </c>
      <c r="C94" s="139" t="s">
        <v>20</v>
      </c>
      <c r="D94" s="139" t="s">
        <v>8</v>
      </c>
      <c r="E94" s="211">
        <v>30438.634042180689</v>
      </c>
      <c r="F94" s="211">
        <v>2045.5489999999995</v>
      </c>
      <c r="G94" s="211">
        <f t="shared" ref="G94:G125" si="6">E94-F94</f>
        <v>28393.08504218069</v>
      </c>
      <c r="H94" s="139">
        <v>2021</v>
      </c>
      <c r="I94" s="139">
        <v>334.79999999999995</v>
      </c>
      <c r="K94" s="212">
        <f t="shared" si="5"/>
        <v>6.7202391446520113E-2</v>
      </c>
    </row>
    <row r="95" spans="1:12" s="139" customFormat="1" x14ac:dyDescent="0.25">
      <c r="A95" s="139" t="s">
        <v>21</v>
      </c>
      <c r="B95" s="110">
        <v>227</v>
      </c>
      <c r="C95" s="139" t="s">
        <v>20</v>
      </c>
      <c r="D95" s="139" t="s">
        <v>8</v>
      </c>
      <c r="E95" s="211">
        <v>30438.634042180689</v>
      </c>
      <c r="F95" s="211">
        <v>2428.6679999999997</v>
      </c>
      <c r="G95" s="211">
        <f t="shared" si="6"/>
        <v>28009.966042180691</v>
      </c>
      <c r="H95" s="139">
        <v>2010</v>
      </c>
      <c r="I95" s="139">
        <v>334.79999999999995</v>
      </c>
      <c r="K95" s="212">
        <f t="shared" si="5"/>
        <v>7.9788994362705132E-2</v>
      </c>
    </row>
    <row r="96" spans="1:12" s="139" customFormat="1" x14ac:dyDescent="0.25">
      <c r="A96" s="139" t="s">
        <v>21</v>
      </c>
      <c r="B96" s="110">
        <v>538</v>
      </c>
      <c r="C96" s="139" t="s">
        <v>20</v>
      </c>
      <c r="D96" s="139" t="s">
        <v>8</v>
      </c>
      <c r="E96" s="211">
        <v>91509.08536907594</v>
      </c>
      <c r="F96" s="211">
        <v>13599.378000000021</v>
      </c>
      <c r="G96" s="211">
        <f t="shared" si="6"/>
        <v>77909.707369075913</v>
      </c>
      <c r="H96" s="139">
        <v>14417</v>
      </c>
      <c r="I96" s="139">
        <v>1179.9000000000001</v>
      </c>
      <c r="K96" s="212">
        <f t="shared" si="5"/>
        <v>0.14861232570679497</v>
      </c>
    </row>
    <row r="97" spans="1:12" s="139" customFormat="1" x14ac:dyDescent="0.25">
      <c r="A97" s="139" t="s">
        <v>21</v>
      </c>
      <c r="B97" s="110">
        <v>539</v>
      </c>
      <c r="C97" s="139" t="s">
        <v>20</v>
      </c>
      <c r="D97" s="139" t="s">
        <v>8</v>
      </c>
      <c r="E97" s="211">
        <v>111376.67249372513</v>
      </c>
      <c r="F97" s="211">
        <v>23172.187000000042</v>
      </c>
      <c r="G97" s="211">
        <f t="shared" si="6"/>
        <v>88204.485493725078</v>
      </c>
      <c r="H97" s="139">
        <v>21706</v>
      </c>
      <c r="I97" s="139">
        <v>1432.0800000000002</v>
      </c>
      <c r="K97" s="212">
        <f t="shared" si="5"/>
        <v>0.20805242678897184</v>
      </c>
    </row>
    <row r="98" spans="1:12" s="139" customFormat="1" x14ac:dyDescent="0.25">
      <c r="A98" s="139" t="s">
        <v>21</v>
      </c>
      <c r="B98" s="110">
        <v>540</v>
      </c>
      <c r="C98" s="139" t="s">
        <v>20</v>
      </c>
      <c r="D98" s="139" t="s">
        <v>8</v>
      </c>
      <c r="E98" s="211">
        <v>46948.061480012744</v>
      </c>
      <c r="F98" s="211">
        <v>17943.163000000022</v>
      </c>
      <c r="G98" s="211">
        <f t="shared" si="6"/>
        <v>29004.898480012722</v>
      </c>
      <c r="H98" s="139">
        <v>13421</v>
      </c>
      <c r="I98" s="139">
        <v>599.4</v>
      </c>
      <c r="K98" s="212">
        <f t="shared" ref="K98:K129" si="7">F98/E98</f>
        <v>0.38219177606809146</v>
      </c>
      <c r="L98" s="142"/>
    </row>
    <row r="99" spans="1:12" s="139" customFormat="1" x14ac:dyDescent="0.25">
      <c r="A99" s="139" t="s">
        <v>21</v>
      </c>
      <c r="B99" s="110">
        <v>615</v>
      </c>
      <c r="C99" s="139" t="s">
        <v>20</v>
      </c>
      <c r="D99" s="139" t="s">
        <v>8</v>
      </c>
      <c r="E99" s="211">
        <v>67007.618852735948</v>
      </c>
      <c r="F99" s="211">
        <v>7795.7759999999989</v>
      </c>
      <c r="G99" s="211">
        <f t="shared" si="6"/>
        <v>59211.84285273595</v>
      </c>
      <c r="H99" s="139">
        <v>6228</v>
      </c>
      <c r="I99" s="139">
        <v>1090.8</v>
      </c>
      <c r="K99" s="212">
        <f t="shared" si="7"/>
        <v>0.11634163597326058</v>
      </c>
      <c r="L99" s="142"/>
    </row>
    <row r="100" spans="1:12" s="139" customFormat="1" x14ac:dyDescent="0.25">
      <c r="A100" s="139" t="s">
        <v>21</v>
      </c>
      <c r="B100" s="110">
        <v>716</v>
      </c>
      <c r="C100" s="139" t="s">
        <v>20</v>
      </c>
      <c r="D100" s="139" t="s">
        <v>8</v>
      </c>
      <c r="E100" s="211">
        <v>39572.422334190233</v>
      </c>
      <c r="F100" s="211">
        <v>7729.5929999999971</v>
      </c>
      <c r="G100" s="211">
        <f t="shared" si="6"/>
        <v>31842.829334190235</v>
      </c>
      <c r="H100" s="139">
        <v>7106</v>
      </c>
      <c r="I100" s="139">
        <v>604.79999999999995</v>
      </c>
      <c r="K100" s="212">
        <f t="shared" si="7"/>
        <v>0.19532776979694</v>
      </c>
      <c r="L100" s="142"/>
    </row>
    <row r="101" spans="1:12" s="139" customFormat="1" x14ac:dyDescent="0.25">
      <c r="A101" s="139" t="s">
        <v>21</v>
      </c>
      <c r="B101" s="110">
        <v>805</v>
      </c>
      <c r="C101" s="139" t="s">
        <v>20</v>
      </c>
      <c r="D101" s="139" t="s">
        <v>8</v>
      </c>
      <c r="E101" s="211">
        <v>89617.723989771344</v>
      </c>
      <c r="F101" s="211">
        <v>11304.582000000006</v>
      </c>
      <c r="G101" s="211">
        <f t="shared" si="6"/>
        <v>78313.141989771335</v>
      </c>
      <c r="H101" s="139">
        <v>8323</v>
      </c>
      <c r="I101" s="139">
        <v>997.21800000000007</v>
      </c>
      <c r="K101" s="212">
        <f t="shared" si="7"/>
        <v>0.1261422573205527</v>
      </c>
      <c r="L101" s="142"/>
    </row>
    <row r="102" spans="1:12" s="139" customFormat="1" x14ac:dyDescent="0.25">
      <c r="A102" s="139" t="s">
        <v>21</v>
      </c>
      <c r="B102" s="110">
        <v>538</v>
      </c>
      <c r="C102" s="139" t="s">
        <v>20</v>
      </c>
      <c r="D102" s="139" t="s">
        <v>138</v>
      </c>
      <c r="E102" s="211">
        <v>78730.835484905678</v>
      </c>
      <c r="F102" s="211">
        <v>11165.421000000011</v>
      </c>
      <c r="G102" s="211">
        <f t="shared" si="6"/>
        <v>67565.414484905661</v>
      </c>
      <c r="H102" s="139">
        <v>11652</v>
      </c>
      <c r="I102" s="139">
        <v>1016.1600000000001</v>
      </c>
      <c r="K102" s="212">
        <f t="shared" si="7"/>
        <v>0.14181763639661429</v>
      </c>
      <c r="L102" s="142"/>
    </row>
    <row r="103" spans="1:12" s="139" customFormat="1" x14ac:dyDescent="0.25">
      <c r="A103" s="139" t="s">
        <v>21</v>
      </c>
      <c r="B103" s="110">
        <v>539</v>
      </c>
      <c r="C103" s="139" t="s">
        <v>20</v>
      </c>
      <c r="D103" s="139" t="s">
        <v>138</v>
      </c>
      <c r="E103" s="211">
        <v>89429.672421625975</v>
      </c>
      <c r="F103" s="211">
        <v>15899.647000000028</v>
      </c>
      <c r="G103" s="211">
        <f t="shared" si="6"/>
        <v>73530.025421625949</v>
      </c>
      <c r="H103" s="139">
        <v>13850</v>
      </c>
      <c r="I103" s="139">
        <v>1145.5</v>
      </c>
      <c r="K103" s="212">
        <f t="shared" si="7"/>
        <v>0.17778939103164107</v>
      </c>
      <c r="L103" s="142"/>
    </row>
    <row r="104" spans="1:12" s="139" customFormat="1" x14ac:dyDescent="0.25">
      <c r="A104" s="139" t="s">
        <v>21</v>
      </c>
      <c r="B104" s="110">
        <v>540</v>
      </c>
      <c r="C104" s="139" t="s">
        <v>20</v>
      </c>
      <c r="D104" s="139" t="s">
        <v>138</v>
      </c>
      <c r="E104" s="211">
        <v>48594.628030243184</v>
      </c>
      <c r="F104" s="211">
        <v>15942.680000000015</v>
      </c>
      <c r="G104" s="211">
        <f t="shared" si="6"/>
        <v>32651.948030243169</v>
      </c>
      <c r="H104" s="139">
        <v>11032</v>
      </c>
      <c r="I104" s="139">
        <v>609</v>
      </c>
      <c r="K104" s="212">
        <f t="shared" si="7"/>
        <v>0.32807494668089615</v>
      </c>
      <c r="L104" s="142"/>
    </row>
    <row r="105" spans="1:12" s="139" customFormat="1" x14ac:dyDescent="0.25">
      <c r="A105" s="139" t="s">
        <v>21</v>
      </c>
      <c r="B105" s="110">
        <v>219</v>
      </c>
      <c r="C105" s="139" t="s">
        <v>20</v>
      </c>
      <c r="D105" s="139" t="s">
        <v>7</v>
      </c>
      <c r="E105" s="211">
        <v>1033220.6548756333</v>
      </c>
      <c r="F105" s="211">
        <v>161076.90900000086</v>
      </c>
      <c r="G105" s="211">
        <f t="shared" si="6"/>
        <v>872143.74587563239</v>
      </c>
      <c r="H105" s="139">
        <v>129786</v>
      </c>
      <c r="I105" s="139">
        <v>13284.612000000001</v>
      </c>
      <c r="K105" s="212">
        <f t="shared" si="7"/>
        <v>0.15589787935413404</v>
      </c>
      <c r="L105" s="142"/>
    </row>
    <row r="106" spans="1:12" s="139" customFormat="1" x14ac:dyDescent="0.25">
      <c r="A106" s="139" t="s">
        <v>21</v>
      </c>
      <c r="B106" s="110">
        <v>223</v>
      </c>
      <c r="C106" s="139" t="s">
        <v>20</v>
      </c>
      <c r="D106" s="139" t="s">
        <v>7</v>
      </c>
      <c r="E106" s="211">
        <v>227321.21453261154</v>
      </c>
      <c r="F106" s="211">
        <v>38680.283999999985</v>
      </c>
      <c r="G106" s="211">
        <f t="shared" si="6"/>
        <v>188640.93053261156</v>
      </c>
      <c r="H106" s="139">
        <v>30802</v>
      </c>
      <c r="I106" s="139">
        <v>2686.6880000000001</v>
      </c>
      <c r="K106" s="212">
        <f t="shared" si="7"/>
        <v>0.17015694764577682</v>
      </c>
      <c r="L106" s="142"/>
    </row>
    <row r="107" spans="1:12" s="139" customFormat="1" x14ac:dyDescent="0.25">
      <c r="A107" s="139" t="s">
        <v>21</v>
      </c>
      <c r="B107" s="110">
        <v>225</v>
      </c>
      <c r="C107" s="139" t="s">
        <v>20</v>
      </c>
      <c r="D107" s="139" t="s">
        <v>7</v>
      </c>
      <c r="E107" s="211">
        <v>203367.96282948804</v>
      </c>
      <c r="F107" s="211">
        <v>25387.433999999983</v>
      </c>
      <c r="G107" s="211">
        <f t="shared" si="6"/>
        <v>177980.52882948806</v>
      </c>
      <c r="H107" s="139">
        <v>23653</v>
      </c>
      <c r="I107" s="139">
        <v>2302.3000000000002</v>
      </c>
      <c r="K107" s="212">
        <f t="shared" si="7"/>
        <v>0.1248349722679075</v>
      </c>
      <c r="L107" s="142"/>
    </row>
    <row r="108" spans="1:12" s="139" customFormat="1" x14ac:dyDescent="0.25">
      <c r="A108" s="139" t="s">
        <v>21</v>
      </c>
      <c r="B108" s="110">
        <v>227</v>
      </c>
      <c r="C108" s="139" t="s">
        <v>20</v>
      </c>
      <c r="D108" s="139" t="s">
        <v>7</v>
      </c>
      <c r="E108" s="211">
        <v>219514.78577991069</v>
      </c>
      <c r="F108" s="211">
        <v>28870.000000000004</v>
      </c>
      <c r="G108" s="211">
        <f t="shared" si="6"/>
        <v>190644.78577991069</v>
      </c>
      <c r="H108" s="139">
        <v>23225</v>
      </c>
      <c r="I108" s="139">
        <v>2378.1999999999998</v>
      </c>
      <c r="K108" s="212">
        <f t="shared" si="7"/>
        <v>0.13151733673623955</v>
      </c>
      <c r="L108" s="142"/>
    </row>
    <row r="109" spans="1:12" s="139" customFormat="1" x14ac:dyDescent="0.25">
      <c r="A109" s="139" t="s">
        <v>21</v>
      </c>
      <c r="B109" s="110">
        <v>537</v>
      </c>
      <c r="C109" s="139" t="s">
        <v>20</v>
      </c>
      <c r="D109" s="139" t="s">
        <v>7</v>
      </c>
      <c r="E109" s="211">
        <v>171934.44419894775</v>
      </c>
      <c r="F109" s="211">
        <v>19824.342000000011</v>
      </c>
      <c r="G109" s="211">
        <f t="shared" si="6"/>
        <v>152110.10219894774</v>
      </c>
      <c r="H109" s="139">
        <v>17578</v>
      </c>
      <c r="I109" s="139">
        <v>1505.35</v>
      </c>
      <c r="K109" s="212">
        <f t="shared" si="7"/>
        <v>0.11530174824691315</v>
      </c>
      <c r="L109" s="142"/>
    </row>
    <row r="110" spans="1:12" s="139" customFormat="1" x14ac:dyDescent="0.25">
      <c r="A110" s="139" t="s">
        <v>21</v>
      </c>
      <c r="B110" s="110">
        <v>538</v>
      </c>
      <c r="C110" s="139" t="s">
        <v>20</v>
      </c>
      <c r="D110" s="139" t="s">
        <v>7</v>
      </c>
      <c r="E110" s="211">
        <v>610334.30204585427</v>
      </c>
      <c r="F110" s="211">
        <v>111615.1299999995</v>
      </c>
      <c r="G110" s="211">
        <f t="shared" si="6"/>
        <v>498719.17204585479</v>
      </c>
      <c r="H110" s="139">
        <v>106301</v>
      </c>
      <c r="I110" s="139">
        <v>7493.8600000000006</v>
      </c>
      <c r="K110" s="212">
        <f t="shared" si="7"/>
        <v>0.18287540062202481</v>
      </c>
      <c r="L110" s="142"/>
    </row>
    <row r="111" spans="1:12" s="139" customFormat="1" x14ac:dyDescent="0.25">
      <c r="A111" s="139" t="s">
        <v>21</v>
      </c>
      <c r="B111" s="110">
        <v>539</v>
      </c>
      <c r="C111" s="139" t="s">
        <v>20</v>
      </c>
      <c r="D111" s="139" t="s">
        <v>7</v>
      </c>
      <c r="E111" s="211">
        <v>1056183.6303056676</v>
      </c>
      <c r="F111" s="211">
        <v>256351.14900000527</v>
      </c>
      <c r="G111" s="211">
        <f t="shared" si="6"/>
        <v>799832.48130566231</v>
      </c>
      <c r="H111" s="139">
        <v>228448</v>
      </c>
      <c r="I111" s="139">
        <v>12954.358999999999</v>
      </c>
      <c r="K111" s="212">
        <f t="shared" si="7"/>
        <v>0.24271456368417232</v>
      </c>
      <c r="L111" s="142"/>
    </row>
    <row r="112" spans="1:12" s="139" customFormat="1" x14ac:dyDescent="0.25">
      <c r="A112" s="139" t="s">
        <v>21</v>
      </c>
      <c r="B112" s="110">
        <v>540</v>
      </c>
      <c r="C112" s="139" t="s">
        <v>20</v>
      </c>
      <c r="D112" s="139" t="s">
        <v>7</v>
      </c>
      <c r="E112" s="211">
        <v>832295.30959712307</v>
      </c>
      <c r="F112" s="211">
        <v>204592.85300000312</v>
      </c>
      <c r="G112" s="211">
        <f t="shared" si="6"/>
        <v>627702.45659711992</v>
      </c>
      <c r="H112" s="139">
        <v>166029</v>
      </c>
      <c r="I112" s="139">
        <v>10946.2</v>
      </c>
      <c r="K112" s="212">
        <f t="shared" si="7"/>
        <v>0.24581762103049382</v>
      </c>
      <c r="L112" s="142"/>
    </row>
    <row r="113" spans="1:12" s="139" customFormat="1" x14ac:dyDescent="0.25">
      <c r="A113" s="139" t="s">
        <v>21</v>
      </c>
      <c r="B113" s="110">
        <v>542</v>
      </c>
      <c r="C113" s="139" t="s">
        <v>20</v>
      </c>
      <c r="D113" s="139" t="s">
        <v>7</v>
      </c>
      <c r="E113" s="211">
        <v>310559.986550709</v>
      </c>
      <c r="F113" s="211">
        <v>59166.355999999731</v>
      </c>
      <c r="G113" s="211">
        <f t="shared" si="6"/>
        <v>251393.63055070926</v>
      </c>
      <c r="H113" s="139">
        <v>46687</v>
      </c>
      <c r="I113" s="139">
        <v>4000.3</v>
      </c>
      <c r="K113" s="212">
        <f t="shared" si="7"/>
        <v>0.19051506492237338</v>
      </c>
      <c r="L113" s="142"/>
    </row>
    <row r="114" spans="1:12" s="139" customFormat="1" x14ac:dyDescent="0.25">
      <c r="A114" s="139" t="s">
        <v>21</v>
      </c>
      <c r="B114" s="110">
        <v>604</v>
      </c>
      <c r="C114" s="139" t="s">
        <v>20</v>
      </c>
      <c r="D114" s="139" t="s">
        <v>7</v>
      </c>
      <c r="E114" s="211">
        <v>141097.06270877708</v>
      </c>
      <c r="F114" s="211">
        <v>10150.398000000012</v>
      </c>
      <c r="G114" s="211">
        <f t="shared" si="6"/>
        <v>130946.66470877707</v>
      </c>
      <c r="H114" s="139">
        <v>11407</v>
      </c>
      <c r="I114" s="139">
        <v>1733.05</v>
      </c>
      <c r="K114" s="212">
        <f t="shared" si="7"/>
        <v>7.193911627310294E-2</v>
      </c>
      <c r="L114" s="142"/>
    </row>
    <row r="115" spans="1:12" s="139" customFormat="1" x14ac:dyDescent="0.25">
      <c r="A115" s="139" t="s">
        <v>21</v>
      </c>
      <c r="B115" s="110">
        <v>614</v>
      </c>
      <c r="C115" s="139" t="s">
        <v>20</v>
      </c>
      <c r="D115" s="139" t="s">
        <v>7</v>
      </c>
      <c r="E115" s="211">
        <v>179917.4610620639</v>
      </c>
      <c r="F115" s="211">
        <v>11812.487000000005</v>
      </c>
      <c r="G115" s="211">
        <f t="shared" si="6"/>
        <v>168104.97406206391</v>
      </c>
      <c r="H115" s="139">
        <v>8139</v>
      </c>
      <c r="I115" s="139">
        <v>2454.1</v>
      </c>
      <c r="K115" s="212">
        <f t="shared" si="7"/>
        <v>6.5655033870921489E-2</v>
      </c>
      <c r="L115" s="142"/>
    </row>
    <row r="116" spans="1:12" s="139" customFormat="1" x14ac:dyDescent="0.25">
      <c r="A116" s="139" t="s">
        <v>21</v>
      </c>
      <c r="B116" s="110">
        <v>615</v>
      </c>
      <c r="C116" s="139" t="s">
        <v>20</v>
      </c>
      <c r="D116" s="139" t="s">
        <v>7</v>
      </c>
      <c r="E116" s="211">
        <v>332914.3209107602</v>
      </c>
      <c r="F116" s="211">
        <v>53074.019999999786</v>
      </c>
      <c r="G116" s="211">
        <f t="shared" si="6"/>
        <v>279840.30091076042</v>
      </c>
      <c r="H116" s="139">
        <v>40624</v>
      </c>
      <c r="I116" s="139">
        <v>5439.5</v>
      </c>
      <c r="K116" s="212">
        <f t="shared" si="7"/>
        <v>0.15942245997349755</v>
      </c>
      <c r="L116" s="142"/>
    </row>
    <row r="117" spans="1:12" s="139" customFormat="1" x14ac:dyDescent="0.25">
      <c r="A117" s="139" t="s">
        <v>21</v>
      </c>
      <c r="B117" s="110">
        <v>705</v>
      </c>
      <c r="C117" s="139" t="s">
        <v>20</v>
      </c>
      <c r="D117" s="139" t="s">
        <v>7</v>
      </c>
      <c r="E117" s="211">
        <v>468700.45348603308</v>
      </c>
      <c r="F117" s="211">
        <v>74868.914999999572</v>
      </c>
      <c r="G117" s="211">
        <f t="shared" si="6"/>
        <v>393831.5384860335</v>
      </c>
      <c r="H117" s="139">
        <v>67419</v>
      </c>
      <c r="I117" s="139">
        <v>5667.2</v>
      </c>
      <c r="K117" s="212">
        <f t="shared" si="7"/>
        <v>0.15973723610282492</v>
      </c>
      <c r="L117" s="142"/>
    </row>
    <row r="118" spans="1:12" s="139" customFormat="1" x14ac:dyDescent="0.25">
      <c r="A118" s="139" t="s">
        <v>21</v>
      </c>
      <c r="B118" s="110">
        <v>716</v>
      </c>
      <c r="C118" s="139" t="s">
        <v>20</v>
      </c>
      <c r="D118" s="139" t="s">
        <v>7</v>
      </c>
      <c r="E118" s="211">
        <v>203313.99306647081</v>
      </c>
      <c r="F118" s="211">
        <v>43236.195999999836</v>
      </c>
      <c r="G118" s="211">
        <f t="shared" si="6"/>
        <v>160077.79706647096</v>
      </c>
      <c r="H118" s="139">
        <v>34751</v>
      </c>
      <c r="I118" s="139">
        <v>3036</v>
      </c>
      <c r="K118" s="212">
        <f t="shared" si="7"/>
        <v>0.21265725662996712</v>
      </c>
      <c r="L118" s="142"/>
    </row>
    <row r="119" spans="1:12" s="139" customFormat="1" x14ac:dyDescent="0.25">
      <c r="A119" s="139" t="s">
        <v>21</v>
      </c>
      <c r="B119" s="110">
        <v>717</v>
      </c>
      <c r="C119" s="139" t="s">
        <v>20</v>
      </c>
      <c r="D119" s="139" t="s">
        <v>7</v>
      </c>
      <c r="E119" s="211">
        <v>217903.05880866692</v>
      </c>
      <c r="F119" s="211">
        <v>59300.00099999964</v>
      </c>
      <c r="G119" s="211">
        <f t="shared" si="6"/>
        <v>158603.05780866728</v>
      </c>
      <c r="H119" s="139">
        <v>59814</v>
      </c>
      <c r="I119" s="139">
        <v>3440.8</v>
      </c>
      <c r="K119" s="212">
        <f t="shared" si="7"/>
        <v>0.27213936933335525</v>
      </c>
      <c r="L119" s="142"/>
    </row>
    <row r="120" spans="1:12" s="139" customFormat="1" x14ac:dyDescent="0.25">
      <c r="A120" s="139" t="s">
        <v>21</v>
      </c>
      <c r="B120" s="110">
        <v>801</v>
      </c>
      <c r="C120" s="139" t="s">
        <v>20</v>
      </c>
      <c r="D120" s="139" t="s">
        <v>7</v>
      </c>
      <c r="E120" s="211">
        <v>432159.23539605504</v>
      </c>
      <c r="F120" s="211">
        <v>78426.598999999464</v>
      </c>
      <c r="G120" s="211">
        <f t="shared" si="6"/>
        <v>353732.63639605558</v>
      </c>
      <c r="H120" s="139">
        <v>71127</v>
      </c>
      <c r="I120" s="139">
        <v>4440.1499999999996</v>
      </c>
      <c r="K120" s="212">
        <f t="shared" si="7"/>
        <v>0.18147616104541864</v>
      </c>
      <c r="L120" s="142"/>
    </row>
    <row r="121" spans="1:12" s="139" customFormat="1" x14ac:dyDescent="0.25">
      <c r="A121" s="139" t="s">
        <v>21</v>
      </c>
      <c r="B121" s="110">
        <v>805</v>
      </c>
      <c r="C121" s="139" t="s">
        <v>20</v>
      </c>
      <c r="D121" s="139" t="s">
        <v>7</v>
      </c>
      <c r="E121" s="211">
        <v>550607.08847054362</v>
      </c>
      <c r="F121" s="211">
        <v>94726.23799999959</v>
      </c>
      <c r="G121" s="211">
        <f t="shared" si="6"/>
        <v>455880.85047054401</v>
      </c>
      <c r="H121" s="139">
        <v>67708</v>
      </c>
      <c r="I121" s="139">
        <v>6013.0510000000004</v>
      </c>
      <c r="K121" s="212">
        <f t="shared" si="7"/>
        <v>0.17203962677474186</v>
      </c>
      <c r="L121" s="142"/>
    </row>
    <row r="122" spans="1:12" s="139" customFormat="1" x14ac:dyDescent="0.25">
      <c r="A122" s="139" t="s">
        <v>21</v>
      </c>
      <c r="B122" s="110">
        <v>831</v>
      </c>
      <c r="C122" s="139" t="s">
        <v>20</v>
      </c>
      <c r="D122" s="139" t="s">
        <v>7</v>
      </c>
      <c r="E122" s="211">
        <v>254966.95214362995</v>
      </c>
      <c r="F122" s="211">
        <v>23037.654000000031</v>
      </c>
      <c r="G122" s="211">
        <f t="shared" si="6"/>
        <v>231929.29814362992</v>
      </c>
      <c r="H122" s="139">
        <v>22388</v>
      </c>
      <c r="I122" s="139">
        <v>2635.5009999999997</v>
      </c>
      <c r="K122" s="212">
        <f t="shared" si="7"/>
        <v>9.0355451192052072E-2</v>
      </c>
      <c r="L122" s="142"/>
    </row>
    <row r="123" spans="1:12" s="139" customFormat="1" x14ac:dyDescent="0.25">
      <c r="A123" s="139" t="s">
        <v>21</v>
      </c>
      <c r="B123" s="110">
        <v>16</v>
      </c>
      <c r="C123" s="139" t="s">
        <v>19</v>
      </c>
      <c r="D123" s="139" t="s">
        <v>8</v>
      </c>
      <c r="E123" s="211">
        <v>17374.968545454547</v>
      </c>
      <c r="F123" s="211">
        <v>1061.6920000000027</v>
      </c>
      <c r="G123" s="211">
        <f t="shared" si="6"/>
        <v>16313.276545454544</v>
      </c>
      <c r="H123" s="139">
        <v>1830</v>
      </c>
      <c r="I123" s="139">
        <v>155.1</v>
      </c>
      <c r="K123" s="212">
        <f t="shared" si="7"/>
        <v>6.1104686159431994E-2</v>
      </c>
      <c r="L123" s="142"/>
    </row>
    <row r="124" spans="1:12" s="139" customFormat="1" x14ac:dyDescent="0.25">
      <c r="A124" s="139" t="s">
        <v>21</v>
      </c>
      <c r="B124" s="110">
        <v>30</v>
      </c>
      <c r="C124" s="139" t="s">
        <v>19</v>
      </c>
      <c r="D124" s="139" t="s">
        <v>8</v>
      </c>
      <c r="E124" s="211">
        <v>123274.51127390889</v>
      </c>
      <c r="F124" s="211">
        <v>16127.966000000039</v>
      </c>
      <c r="G124" s="211">
        <f t="shared" si="6"/>
        <v>107146.54527390885</v>
      </c>
      <c r="H124" s="139">
        <v>18477</v>
      </c>
      <c r="I124" s="139">
        <v>1647</v>
      </c>
      <c r="K124" s="212">
        <f t="shared" si="7"/>
        <v>0.13082968923044133</v>
      </c>
      <c r="L124" s="142"/>
    </row>
    <row r="125" spans="1:12" s="139" customFormat="1" x14ac:dyDescent="0.25">
      <c r="A125" s="139" t="s">
        <v>21</v>
      </c>
      <c r="B125" s="110">
        <v>80</v>
      </c>
      <c r="C125" s="139" t="s">
        <v>19</v>
      </c>
      <c r="D125" s="139" t="s">
        <v>8</v>
      </c>
      <c r="E125" s="211">
        <v>63413.431966057688</v>
      </c>
      <c r="F125" s="211">
        <v>13620.547000000013</v>
      </c>
      <c r="G125" s="211">
        <f t="shared" si="6"/>
        <v>49792.884966057674</v>
      </c>
      <c r="H125" s="139">
        <v>16439</v>
      </c>
      <c r="I125" s="139">
        <v>732.78000000000009</v>
      </c>
      <c r="K125" s="212">
        <f t="shared" si="7"/>
        <v>0.21478962071143648</v>
      </c>
      <c r="L125" s="142"/>
    </row>
    <row r="126" spans="1:12" s="139" customFormat="1" x14ac:dyDescent="0.25">
      <c r="A126" s="139" t="s">
        <v>21</v>
      </c>
      <c r="B126" s="110">
        <v>83</v>
      </c>
      <c r="C126" s="139" t="s">
        <v>19</v>
      </c>
      <c r="D126" s="139" t="s">
        <v>8</v>
      </c>
      <c r="E126" s="211">
        <v>123046.66568990084</v>
      </c>
      <c r="F126" s="211">
        <v>14980.092000000037</v>
      </c>
      <c r="G126" s="211">
        <f t="shared" ref="G126:G141" si="8">E126-F126</f>
        <v>108066.5736899008</v>
      </c>
      <c r="H126" s="139">
        <v>15359</v>
      </c>
      <c r="I126" s="139">
        <v>1904.5799999999997</v>
      </c>
      <c r="K126" s="212">
        <f t="shared" si="7"/>
        <v>0.12174317699719303</v>
      </c>
      <c r="L126" s="142"/>
    </row>
    <row r="127" spans="1:12" s="139" customFormat="1" x14ac:dyDescent="0.25">
      <c r="A127" s="139" t="s">
        <v>21</v>
      </c>
      <c r="B127" s="110">
        <v>84</v>
      </c>
      <c r="C127" s="139" t="s">
        <v>19</v>
      </c>
      <c r="D127" s="139" t="s">
        <v>8</v>
      </c>
      <c r="E127" s="211">
        <v>15961.278190082645</v>
      </c>
      <c r="F127" s="211">
        <v>1449.975000000004</v>
      </c>
      <c r="G127" s="211">
        <f t="shared" si="8"/>
        <v>14511.303190082641</v>
      </c>
      <c r="H127" s="139">
        <v>1805</v>
      </c>
      <c r="I127" s="139">
        <v>143.15</v>
      </c>
      <c r="K127" s="212">
        <f t="shared" si="7"/>
        <v>9.0843288534431355E-2</v>
      </c>
      <c r="L127" s="142"/>
    </row>
    <row r="128" spans="1:12" s="139" customFormat="1" x14ac:dyDescent="0.25">
      <c r="A128" s="139" t="s">
        <v>21</v>
      </c>
      <c r="B128" s="110">
        <v>87</v>
      </c>
      <c r="C128" s="139" t="s">
        <v>19</v>
      </c>
      <c r="D128" s="139" t="s">
        <v>8</v>
      </c>
      <c r="E128" s="211">
        <v>182530.55473042087</v>
      </c>
      <c r="F128" s="211">
        <v>21102.920000000049</v>
      </c>
      <c r="G128" s="211">
        <f t="shared" si="8"/>
        <v>161427.63473042083</v>
      </c>
      <c r="H128" s="139">
        <v>22016</v>
      </c>
      <c r="I128" s="139">
        <v>2144.8799999999997</v>
      </c>
      <c r="K128" s="212">
        <f t="shared" si="7"/>
        <v>0.11561308204627396</v>
      </c>
      <c r="L128" s="142"/>
    </row>
    <row r="129" spans="1:12" s="139" customFormat="1" x14ac:dyDescent="0.25">
      <c r="A129" s="139" t="s">
        <v>21</v>
      </c>
      <c r="B129" s="110">
        <v>16</v>
      </c>
      <c r="C129" s="139" t="s">
        <v>19</v>
      </c>
      <c r="D129" s="139" t="s">
        <v>138</v>
      </c>
      <c r="E129" s="211">
        <v>19636.319249586777</v>
      </c>
      <c r="F129" s="211">
        <v>720.78700000000129</v>
      </c>
      <c r="G129" s="211">
        <f t="shared" si="8"/>
        <v>18915.532249586777</v>
      </c>
      <c r="H129" s="139">
        <v>1163</v>
      </c>
      <c r="I129" s="139">
        <v>171.17999999999998</v>
      </c>
      <c r="K129" s="212">
        <f t="shared" si="7"/>
        <v>3.6706828343869458E-2</v>
      </c>
      <c r="L129" s="142"/>
    </row>
    <row r="130" spans="1:12" s="139" customFormat="1" x14ac:dyDescent="0.25">
      <c r="A130" s="139" t="s">
        <v>21</v>
      </c>
      <c r="B130" s="110">
        <v>30</v>
      </c>
      <c r="C130" s="139" t="s">
        <v>19</v>
      </c>
      <c r="D130" s="139" t="s">
        <v>138</v>
      </c>
      <c r="E130" s="211">
        <v>132405.58618308735</v>
      </c>
      <c r="F130" s="211">
        <v>14739.707000000035</v>
      </c>
      <c r="G130" s="211">
        <f t="shared" si="8"/>
        <v>117665.87918308731</v>
      </c>
      <c r="H130" s="139">
        <v>16224</v>
      </c>
      <c r="I130" s="139">
        <v>1769</v>
      </c>
      <c r="K130" s="212">
        <f t="shared" ref="K130:K193" si="9">F130/E130</f>
        <v>0.1113223952622234</v>
      </c>
      <c r="L130" s="142"/>
    </row>
    <row r="131" spans="1:12" s="139" customFormat="1" x14ac:dyDescent="0.25">
      <c r="A131" s="139" t="s">
        <v>21</v>
      </c>
      <c r="B131" s="110">
        <v>80</v>
      </c>
      <c r="C131" s="139" t="s">
        <v>19</v>
      </c>
      <c r="D131" s="139" t="s">
        <v>138</v>
      </c>
      <c r="E131" s="211">
        <v>36816.230827874351</v>
      </c>
      <c r="F131" s="211">
        <v>9295.1319999999996</v>
      </c>
      <c r="G131" s="211">
        <f t="shared" si="8"/>
        <v>27521.098827874353</v>
      </c>
      <c r="H131" s="139">
        <v>10070</v>
      </c>
      <c r="I131" s="139">
        <v>425.14000000000004</v>
      </c>
      <c r="K131" s="212">
        <f t="shared" si="9"/>
        <v>0.25247375385756377</v>
      </c>
      <c r="L131" s="142"/>
    </row>
    <row r="132" spans="1:12" s="139" customFormat="1" x14ac:dyDescent="0.25">
      <c r="A132" s="139" t="s">
        <v>21</v>
      </c>
      <c r="B132" s="110">
        <v>83</v>
      </c>
      <c r="C132" s="139" t="s">
        <v>19</v>
      </c>
      <c r="D132" s="139" t="s">
        <v>138</v>
      </c>
      <c r="E132" s="211">
        <v>132161.34462989349</v>
      </c>
      <c r="F132" s="211">
        <v>13853.04800000003</v>
      </c>
      <c r="G132" s="211">
        <f t="shared" si="8"/>
        <v>118308.29662989346</v>
      </c>
      <c r="H132" s="139">
        <v>14140</v>
      </c>
      <c r="I132" s="139">
        <v>2045.6599999999999</v>
      </c>
      <c r="K132" s="212">
        <f t="shared" si="9"/>
        <v>0.10481921199269198</v>
      </c>
      <c r="L132" s="142"/>
    </row>
    <row r="133" spans="1:12" s="139" customFormat="1" x14ac:dyDescent="0.25">
      <c r="A133" s="139" t="s">
        <v>21</v>
      </c>
      <c r="B133" s="110">
        <v>84</v>
      </c>
      <c r="C133" s="139" t="s">
        <v>19</v>
      </c>
      <c r="D133" s="139" t="s">
        <v>138</v>
      </c>
      <c r="E133" s="211">
        <v>14182.833150413224</v>
      </c>
      <c r="F133" s="211">
        <v>907.88100000000168</v>
      </c>
      <c r="G133" s="211">
        <f t="shared" si="8"/>
        <v>13274.952150413223</v>
      </c>
      <c r="H133" s="139">
        <v>1110</v>
      </c>
      <c r="I133" s="139">
        <v>126.47999999999999</v>
      </c>
      <c r="K133" s="212">
        <f t="shared" si="9"/>
        <v>6.4012668722225649E-2</v>
      </c>
      <c r="L133" s="142"/>
    </row>
    <row r="134" spans="1:12" s="139" customFormat="1" x14ac:dyDescent="0.25">
      <c r="A134" s="139" t="s">
        <v>21</v>
      </c>
      <c r="B134" s="110">
        <v>87</v>
      </c>
      <c r="C134" s="139" t="s">
        <v>19</v>
      </c>
      <c r="D134" s="139" t="s">
        <v>138</v>
      </c>
      <c r="E134" s="211">
        <v>196672.96610930478</v>
      </c>
      <c r="F134" s="211">
        <v>16740.027000000056</v>
      </c>
      <c r="G134" s="211">
        <f t="shared" si="8"/>
        <v>179932.93910930472</v>
      </c>
      <c r="H134" s="139">
        <v>16903</v>
      </c>
      <c r="I134" s="139">
        <v>2324.6400000000003</v>
      </c>
      <c r="K134" s="212">
        <f t="shared" si="9"/>
        <v>8.5116054998105151E-2</v>
      </c>
      <c r="L134" s="142"/>
    </row>
    <row r="135" spans="1:12" s="139" customFormat="1" x14ac:dyDescent="0.25">
      <c r="A135" s="139" t="s">
        <v>21</v>
      </c>
      <c r="B135" s="110">
        <v>16</v>
      </c>
      <c r="C135" s="139" t="s">
        <v>19</v>
      </c>
      <c r="D135" s="139" t="s">
        <v>7</v>
      </c>
      <c r="E135" s="211">
        <v>68162.511626446285</v>
      </c>
      <c r="F135" s="211">
        <v>5546.8319999999758</v>
      </c>
      <c r="G135" s="211">
        <f t="shared" si="8"/>
        <v>62615.679626446312</v>
      </c>
      <c r="H135" s="139">
        <v>8246</v>
      </c>
      <c r="I135" s="139">
        <v>653.22</v>
      </c>
      <c r="K135" s="212">
        <f t="shared" si="9"/>
        <v>8.1376578820899367E-2</v>
      </c>
      <c r="L135" s="142"/>
    </row>
    <row r="136" spans="1:12" s="139" customFormat="1" x14ac:dyDescent="0.25">
      <c r="A136" s="139" t="s">
        <v>21</v>
      </c>
      <c r="B136" s="110">
        <v>27</v>
      </c>
      <c r="C136" s="139" t="s">
        <v>19</v>
      </c>
      <c r="D136" s="139" t="s">
        <v>7</v>
      </c>
      <c r="E136" s="211">
        <v>198839.54029937569</v>
      </c>
      <c r="F136" s="211">
        <v>16034.195000000062</v>
      </c>
      <c r="G136" s="211">
        <f t="shared" si="8"/>
        <v>182805.34529937562</v>
      </c>
      <c r="H136" s="139">
        <v>20552</v>
      </c>
      <c r="I136" s="139">
        <v>2788.06</v>
      </c>
      <c r="K136" s="212">
        <f t="shared" si="9"/>
        <v>8.0638865770151877E-2</v>
      </c>
      <c r="L136" s="142"/>
    </row>
    <row r="137" spans="1:12" s="139" customFormat="1" x14ac:dyDescent="0.25">
      <c r="A137" s="139" t="s">
        <v>21</v>
      </c>
      <c r="B137" s="110">
        <v>30</v>
      </c>
      <c r="C137" s="139" t="s">
        <v>19</v>
      </c>
      <c r="D137" s="139" t="s">
        <v>7</v>
      </c>
      <c r="E137" s="211">
        <v>740903.76198727987</v>
      </c>
      <c r="F137" s="211">
        <v>157690.41700000194</v>
      </c>
      <c r="G137" s="211">
        <f t="shared" si="8"/>
        <v>583213.34498727787</v>
      </c>
      <c r="H137" s="139">
        <v>154565</v>
      </c>
      <c r="I137" s="139">
        <v>9689.9</v>
      </c>
      <c r="K137" s="212">
        <f t="shared" si="9"/>
        <v>0.21283522245458544</v>
      </c>
      <c r="L137" s="142"/>
    </row>
    <row r="138" spans="1:12" s="139" customFormat="1" x14ac:dyDescent="0.25">
      <c r="A138" s="139" t="s">
        <v>21</v>
      </c>
      <c r="B138" s="110">
        <v>80</v>
      </c>
      <c r="C138" s="139" t="s">
        <v>19</v>
      </c>
      <c r="D138" s="139" t="s">
        <v>7</v>
      </c>
      <c r="E138" s="211">
        <v>302711.37223541766</v>
      </c>
      <c r="F138" s="211">
        <v>96714.173999999417</v>
      </c>
      <c r="G138" s="211">
        <f t="shared" si="8"/>
        <v>205997.19823541824</v>
      </c>
      <c r="H138" s="139">
        <v>98052</v>
      </c>
      <c r="I138" s="139">
        <v>3526.0610000000001</v>
      </c>
      <c r="K138" s="212">
        <f t="shared" si="9"/>
        <v>0.31949303154948905</v>
      </c>
      <c r="L138" s="142"/>
    </row>
    <row r="139" spans="1:12" s="139" customFormat="1" x14ac:dyDescent="0.25">
      <c r="A139" s="139" t="s">
        <v>21</v>
      </c>
      <c r="B139" s="110">
        <v>83</v>
      </c>
      <c r="C139" s="139" t="s">
        <v>19</v>
      </c>
      <c r="D139" s="139" t="s">
        <v>7</v>
      </c>
      <c r="E139" s="211">
        <v>600486.51163716486</v>
      </c>
      <c r="F139" s="211">
        <v>114548.83800000108</v>
      </c>
      <c r="G139" s="211">
        <f t="shared" si="8"/>
        <v>485937.67363716377</v>
      </c>
      <c r="H139" s="139">
        <v>106379</v>
      </c>
      <c r="I139" s="139">
        <v>9500.15</v>
      </c>
      <c r="K139" s="212">
        <f t="shared" si="9"/>
        <v>0.19076005169157825</v>
      </c>
      <c r="L139" s="142"/>
    </row>
    <row r="140" spans="1:12" s="139" customFormat="1" x14ac:dyDescent="0.25">
      <c r="A140" s="139" t="s">
        <v>21</v>
      </c>
      <c r="B140" s="110">
        <v>84</v>
      </c>
      <c r="C140" s="139" t="s">
        <v>19</v>
      </c>
      <c r="D140" s="139" t="s">
        <v>7</v>
      </c>
      <c r="E140" s="211">
        <v>72173.734867768595</v>
      </c>
      <c r="F140" s="211">
        <v>8747.3270000000048</v>
      </c>
      <c r="G140" s="211">
        <f t="shared" si="8"/>
        <v>63426.40786776859</v>
      </c>
      <c r="H140" s="139">
        <v>10032</v>
      </c>
      <c r="I140" s="139">
        <v>680.51666666666665</v>
      </c>
      <c r="K140" s="212">
        <f t="shared" si="9"/>
        <v>0.12119820341882284</v>
      </c>
      <c r="L140" s="142"/>
    </row>
    <row r="141" spans="1:12" s="4" customFormat="1" x14ac:dyDescent="0.25">
      <c r="A141" s="4" t="s">
        <v>21</v>
      </c>
      <c r="B141" s="227">
        <v>87</v>
      </c>
      <c r="C141" s="4" t="s">
        <v>19</v>
      </c>
      <c r="D141" s="4" t="s">
        <v>7</v>
      </c>
      <c r="E141" s="228">
        <v>1091659.8018111223</v>
      </c>
      <c r="F141" s="228">
        <v>259128.70100000841</v>
      </c>
      <c r="G141" s="228">
        <f t="shared" si="8"/>
        <v>832531.10081111395</v>
      </c>
      <c r="H141" s="4">
        <v>227554</v>
      </c>
      <c r="I141" s="4">
        <v>12940.95</v>
      </c>
      <c r="K141" s="229">
        <f t="shared" si="9"/>
        <v>0.23737129513251284</v>
      </c>
      <c r="L141" s="230"/>
    </row>
    <row r="142" spans="1:12" s="139" customFormat="1" x14ac:dyDescent="0.25">
      <c r="A142" s="139" t="s">
        <v>18</v>
      </c>
      <c r="B142" s="110">
        <v>2</v>
      </c>
      <c r="C142" s="139" t="s">
        <v>24</v>
      </c>
      <c r="D142" s="139" t="s">
        <v>7</v>
      </c>
      <c r="E142" s="211">
        <v>6029659.9676695131</v>
      </c>
      <c r="F142" s="211">
        <v>1180598.2243872117</v>
      </c>
      <c r="G142" s="211">
        <f>E142-F142</f>
        <v>4849061.7432823014</v>
      </c>
      <c r="H142" s="139">
        <v>1448128.3411701326</v>
      </c>
      <c r="I142" s="139">
        <v>34245.459999999934</v>
      </c>
      <c r="K142" s="212">
        <f t="shared" si="9"/>
        <v>0.19579847465984346</v>
      </c>
      <c r="L142" s="142"/>
    </row>
    <row r="143" spans="1:12" s="139" customFormat="1" x14ac:dyDescent="0.25">
      <c r="A143" s="139" t="s">
        <v>18</v>
      </c>
      <c r="B143" s="110">
        <v>3</v>
      </c>
      <c r="C143" s="139" t="s">
        <v>24</v>
      </c>
      <c r="D143" s="139" t="s">
        <v>7</v>
      </c>
      <c r="E143" s="211">
        <v>8334695.0912415227</v>
      </c>
      <c r="F143" s="211">
        <v>1600583.8250722014</v>
      </c>
      <c r="G143" s="211">
        <f t="shared" ref="G143:G206" si="10">E143-F143</f>
        <v>6734111.2661693208</v>
      </c>
      <c r="H143" s="139">
        <v>1622310.3971839733</v>
      </c>
      <c r="I143" s="139">
        <v>45503.829999999813</v>
      </c>
      <c r="K143" s="212">
        <f t="shared" si="9"/>
        <v>0.19203867778608577</v>
      </c>
      <c r="L143" s="142"/>
    </row>
    <row r="144" spans="1:12" s="139" customFormat="1" x14ac:dyDescent="0.25">
      <c r="A144" s="139" t="s">
        <v>18</v>
      </c>
      <c r="B144" s="110">
        <v>4</v>
      </c>
      <c r="C144" s="139" t="s">
        <v>24</v>
      </c>
      <c r="D144" s="139" t="s">
        <v>7</v>
      </c>
      <c r="E144" s="211">
        <v>8472733.3910882808</v>
      </c>
      <c r="F144" s="211">
        <v>1743602.6502952415</v>
      </c>
      <c r="G144" s="211">
        <f t="shared" si="10"/>
        <v>6729130.7407930391</v>
      </c>
      <c r="H144" s="139">
        <v>1382841.9665109983</v>
      </c>
      <c r="I144" s="139">
        <v>45790.789999999797</v>
      </c>
      <c r="K144" s="212">
        <f t="shared" si="9"/>
        <v>0.20578986376807076</v>
      </c>
      <c r="L144" s="142"/>
    </row>
    <row r="145" spans="1:12" s="139" customFormat="1" x14ac:dyDescent="0.25">
      <c r="A145" s="139" t="s">
        <v>18</v>
      </c>
      <c r="B145" s="110">
        <v>5</v>
      </c>
      <c r="C145" s="139" t="s">
        <v>24</v>
      </c>
      <c r="D145" s="139" t="s">
        <v>7</v>
      </c>
      <c r="E145" s="211">
        <v>12818463.89002654</v>
      </c>
      <c r="F145" s="211">
        <v>3117375.8774933401</v>
      </c>
      <c r="G145" s="211">
        <f t="shared" si="10"/>
        <v>9701088.012533199</v>
      </c>
      <c r="H145" s="139">
        <v>3476014.0037711198</v>
      </c>
      <c r="I145" s="139">
        <v>71385.460000000006</v>
      </c>
      <c r="K145" s="212">
        <f t="shared" si="9"/>
        <v>0.2431941849068848</v>
      </c>
      <c r="L145" s="142"/>
    </row>
    <row r="146" spans="1:12" s="139" customFormat="1" x14ac:dyDescent="0.25">
      <c r="A146" s="139" t="s">
        <v>18</v>
      </c>
      <c r="B146" s="110">
        <v>6</v>
      </c>
      <c r="C146" s="139" t="s">
        <v>24</v>
      </c>
      <c r="D146" s="139" t="s">
        <v>7</v>
      </c>
      <c r="E146" s="211">
        <v>10417667.884550348</v>
      </c>
      <c r="F146" s="211">
        <v>2334586.0589800295</v>
      </c>
      <c r="G146" s="211">
        <f t="shared" si="10"/>
        <v>8083081.8255703188</v>
      </c>
      <c r="H146" s="139">
        <v>2027757.0399372163</v>
      </c>
      <c r="I146" s="139">
        <v>55663.519999999939</v>
      </c>
      <c r="K146" s="212">
        <f t="shared" si="9"/>
        <v>0.22409872198385944</v>
      </c>
      <c r="L146" s="142"/>
    </row>
    <row r="147" spans="1:12" s="139" customFormat="1" x14ac:dyDescent="0.25">
      <c r="A147" s="139" t="s">
        <v>18</v>
      </c>
      <c r="B147" s="110">
        <v>7</v>
      </c>
      <c r="C147" s="139" t="s">
        <v>24</v>
      </c>
      <c r="D147" s="139" t="s">
        <v>7</v>
      </c>
      <c r="E147" s="211">
        <v>3346123.4161249902</v>
      </c>
      <c r="F147" s="211">
        <v>423037.74372474942</v>
      </c>
      <c r="G147" s="211">
        <f t="shared" si="10"/>
        <v>2923085.6724002408</v>
      </c>
      <c r="H147" s="139">
        <v>414414.96171261487</v>
      </c>
      <c r="I147" s="139">
        <v>18936.200000000023</v>
      </c>
      <c r="K147" s="212">
        <f t="shared" si="9"/>
        <v>0.126426222561346</v>
      </c>
      <c r="L147" s="142"/>
    </row>
    <row r="148" spans="1:12" s="139" customFormat="1" x14ac:dyDescent="0.25">
      <c r="A148" s="139" t="s">
        <v>18</v>
      </c>
      <c r="B148" s="110">
        <v>9</v>
      </c>
      <c r="C148" s="139" t="s">
        <v>24</v>
      </c>
      <c r="D148" s="139" t="s">
        <v>7</v>
      </c>
      <c r="E148" s="211">
        <v>4356100.4575872812</v>
      </c>
      <c r="F148" s="211">
        <v>673915.65936088469</v>
      </c>
      <c r="G148" s="211">
        <f t="shared" si="10"/>
        <v>3682184.7982263966</v>
      </c>
      <c r="H148" s="139">
        <v>631495.78793264914</v>
      </c>
      <c r="I148" s="139">
        <v>23429.679999999902</v>
      </c>
      <c r="K148" s="212">
        <f t="shared" si="9"/>
        <v>0.15470617951133001</v>
      </c>
      <c r="L148" s="142"/>
    </row>
    <row r="149" spans="1:12" s="139" customFormat="1" x14ac:dyDescent="0.25">
      <c r="A149" s="139" t="s">
        <v>18</v>
      </c>
      <c r="B149" s="110">
        <v>10</v>
      </c>
      <c r="C149" s="139" t="s">
        <v>24</v>
      </c>
      <c r="D149" s="139" t="s">
        <v>7</v>
      </c>
      <c r="E149" s="211">
        <v>8311803.0740515152</v>
      </c>
      <c r="F149" s="211">
        <v>1513812.1850152249</v>
      </c>
      <c r="G149" s="211">
        <f t="shared" si="10"/>
        <v>6797990.8890362903</v>
      </c>
      <c r="H149" s="139">
        <v>1637923.5289184712</v>
      </c>
      <c r="I149" s="139">
        <v>46708.960000000116</v>
      </c>
      <c r="K149" s="212">
        <f t="shared" si="9"/>
        <v>0.18212801380499147</v>
      </c>
      <c r="L149" s="142"/>
    </row>
    <row r="150" spans="1:12" s="139" customFormat="1" x14ac:dyDescent="0.25">
      <c r="A150" s="139" t="s">
        <v>18</v>
      </c>
      <c r="B150" s="110">
        <v>11</v>
      </c>
      <c r="C150" s="139" t="s">
        <v>24</v>
      </c>
      <c r="D150" s="139" t="s">
        <v>7</v>
      </c>
      <c r="E150" s="211">
        <v>5862003.8227913631</v>
      </c>
      <c r="F150" s="211">
        <v>1163903.3627525098</v>
      </c>
      <c r="G150" s="211">
        <f t="shared" si="10"/>
        <v>4698100.4600388538</v>
      </c>
      <c r="H150" s="139">
        <v>1034385.5366036745</v>
      </c>
      <c r="I150" s="139">
        <v>33264.919999999896</v>
      </c>
      <c r="K150" s="212">
        <f t="shared" si="9"/>
        <v>0.19855042711287135</v>
      </c>
      <c r="L150" s="142"/>
    </row>
    <row r="151" spans="1:12" s="139" customFormat="1" x14ac:dyDescent="0.25">
      <c r="A151" s="139" t="s">
        <v>18</v>
      </c>
      <c r="B151" s="110">
        <v>12</v>
      </c>
      <c r="C151" s="139" t="s">
        <v>24</v>
      </c>
      <c r="D151" s="139" t="s">
        <v>7</v>
      </c>
      <c r="E151" s="211">
        <v>1992431.9568934722</v>
      </c>
      <c r="F151" s="211">
        <v>456907.80531504081</v>
      </c>
      <c r="G151" s="211">
        <f t="shared" si="10"/>
        <v>1535524.1515784315</v>
      </c>
      <c r="H151" s="139">
        <v>331528.02770781505</v>
      </c>
      <c r="I151" s="139">
        <v>10514.229999999969</v>
      </c>
      <c r="K151" s="212">
        <f t="shared" si="9"/>
        <v>0.22932166076448349</v>
      </c>
      <c r="L151" s="142"/>
    </row>
    <row r="152" spans="1:12" s="139" customFormat="1" x14ac:dyDescent="0.25">
      <c r="A152" s="139" t="s">
        <v>18</v>
      </c>
      <c r="B152" s="110">
        <v>14</v>
      </c>
      <c r="C152" s="139" t="s">
        <v>24</v>
      </c>
      <c r="D152" s="139" t="s">
        <v>7</v>
      </c>
      <c r="E152" s="211">
        <v>6991607.3650881946</v>
      </c>
      <c r="F152" s="211">
        <v>1274032.8524907953</v>
      </c>
      <c r="G152" s="211">
        <f t="shared" si="10"/>
        <v>5717574.5125973988</v>
      </c>
      <c r="H152" s="139">
        <v>1217587.7755542144</v>
      </c>
      <c r="I152" s="139">
        <v>38569.950000000026</v>
      </c>
      <c r="K152" s="212">
        <f t="shared" si="9"/>
        <v>0.18222316928901575</v>
      </c>
      <c r="L152" s="142"/>
    </row>
    <row r="153" spans="1:12" s="139" customFormat="1" x14ac:dyDescent="0.25">
      <c r="A153" s="139" t="s">
        <v>18</v>
      </c>
      <c r="B153" s="110">
        <v>16</v>
      </c>
      <c r="C153" s="139" t="s">
        <v>19</v>
      </c>
      <c r="D153" s="139" t="s">
        <v>7</v>
      </c>
      <c r="E153" s="211">
        <v>1976459.6628067482</v>
      </c>
      <c r="F153" s="211">
        <v>116078.49247705277</v>
      </c>
      <c r="G153" s="211">
        <f t="shared" si="10"/>
        <v>1860381.1703296953</v>
      </c>
      <c r="H153" s="139">
        <v>170545.35392367683</v>
      </c>
      <c r="I153" s="139">
        <v>10610.810000000014</v>
      </c>
      <c r="K153" s="212">
        <f t="shared" si="9"/>
        <v>5.8730514293527755E-2</v>
      </c>
      <c r="L153" s="142"/>
    </row>
    <row r="154" spans="1:12" s="139" customFormat="1" x14ac:dyDescent="0.25">
      <c r="A154" s="139" t="s">
        <v>18</v>
      </c>
      <c r="B154" s="110">
        <v>17</v>
      </c>
      <c r="C154" s="139" t="s">
        <v>24</v>
      </c>
      <c r="D154" s="139" t="s">
        <v>7</v>
      </c>
      <c r="E154" s="211">
        <v>6364218.6786776735</v>
      </c>
      <c r="F154" s="211">
        <v>1402319.8781011661</v>
      </c>
      <c r="G154" s="211">
        <f t="shared" si="10"/>
        <v>4961898.8005765071</v>
      </c>
      <c r="H154" s="139">
        <v>1263729.0816228872</v>
      </c>
      <c r="I154" s="139">
        <v>34088.840000000193</v>
      </c>
      <c r="K154" s="212">
        <f t="shared" si="9"/>
        <v>0.22034438929627309</v>
      </c>
      <c r="L154" s="142"/>
    </row>
    <row r="155" spans="1:12" s="139" customFormat="1" x14ac:dyDescent="0.25">
      <c r="A155" s="139" t="s">
        <v>18</v>
      </c>
      <c r="B155" s="110">
        <v>18</v>
      </c>
      <c r="C155" s="139" t="s">
        <v>24</v>
      </c>
      <c r="D155" s="139" t="s">
        <v>7</v>
      </c>
      <c r="E155" s="211">
        <v>9821024.6610060688</v>
      </c>
      <c r="F155" s="211">
        <v>1958612.6996716254</v>
      </c>
      <c r="G155" s="211">
        <f t="shared" si="10"/>
        <v>7862411.9613344437</v>
      </c>
      <c r="H155" s="139">
        <v>2308185.5653439043</v>
      </c>
      <c r="I155" s="139">
        <v>53329.889999999919</v>
      </c>
      <c r="K155" s="212">
        <f t="shared" si="9"/>
        <v>0.19943058563412511</v>
      </c>
      <c r="L155" s="142"/>
    </row>
    <row r="156" spans="1:12" s="139" customFormat="1" x14ac:dyDescent="0.25">
      <c r="A156" s="139" t="s">
        <v>18</v>
      </c>
      <c r="B156" s="110">
        <v>19</v>
      </c>
      <c r="C156" s="139" t="s">
        <v>24</v>
      </c>
      <c r="D156" s="139" t="s">
        <v>7</v>
      </c>
      <c r="E156" s="211">
        <v>6977505.2664347403</v>
      </c>
      <c r="F156" s="211">
        <v>1410539.885063787</v>
      </c>
      <c r="G156" s="211">
        <f t="shared" si="10"/>
        <v>5566965.3813709533</v>
      </c>
      <c r="H156" s="139">
        <v>1514187.4890914378</v>
      </c>
      <c r="I156" s="139">
        <v>35110.039999999964</v>
      </c>
      <c r="K156" s="212">
        <f t="shared" si="9"/>
        <v>0.20215533076688358</v>
      </c>
      <c r="L156" s="142"/>
    </row>
    <row r="157" spans="1:12" s="139" customFormat="1" x14ac:dyDescent="0.25">
      <c r="A157" s="139" t="s">
        <v>18</v>
      </c>
      <c r="B157" s="110">
        <v>20</v>
      </c>
      <c r="C157" s="139" t="s">
        <v>19</v>
      </c>
      <c r="D157" s="139" t="s">
        <v>7</v>
      </c>
      <c r="E157" s="211">
        <v>185205.72878988061</v>
      </c>
      <c r="F157" s="211">
        <v>8328.7716448712199</v>
      </c>
      <c r="G157" s="211">
        <f t="shared" si="10"/>
        <v>176876.95714500939</v>
      </c>
      <c r="H157" s="139">
        <v>13152.704650108397</v>
      </c>
      <c r="I157" s="139">
        <v>469.2</v>
      </c>
      <c r="K157" s="212">
        <f t="shared" si="9"/>
        <v>4.4970378072485911E-2</v>
      </c>
      <c r="L157" s="142"/>
    </row>
    <row r="158" spans="1:12" s="139" customFormat="1" x14ac:dyDescent="0.25">
      <c r="A158" s="139" t="s">
        <v>18</v>
      </c>
      <c r="B158" s="110">
        <v>21</v>
      </c>
      <c r="C158" s="139" t="s">
        <v>24</v>
      </c>
      <c r="D158" s="139" t="s">
        <v>7</v>
      </c>
      <c r="E158" s="211">
        <v>10789554.871321255</v>
      </c>
      <c r="F158" s="211">
        <v>2161467.9933571541</v>
      </c>
      <c r="G158" s="211">
        <f t="shared" si="10"/>
        <v>8628086.8779641017</v>
      </c>
      <c r="H158" s="139">
        <v>2808846.1722330106</v>
      </c>
      <c r="I158" s="139">
        <v>59311.149999999936</v>
      </c>
      <c r="K158" s="212">
        <f t="shared" si="9"/>
        <v>0.20032967245964498</v>
      </c>
      <c r="L158" s="142"/>
    </row>
    <row r="159" spans="1:12" s="139" customFormat="1" x14ac:dyDescent="0.25">
      <c r="A159" s="139" t="s">
        <v>18</v>
      </c>
      <c r="B159" s="110">
        <v>22</v>
      </c>
      <c r="C159" s="139" t="s">
        <v>24</v>
      </c>
      <c r="D159" s="139" t="s">
        <v>7</v>
      </c>
      <c r="E159" s="211">
        <v>7540097.1816556845</v>
      </c>
      <c r="F159" s="211">
        <v>1391058.5187104268</v>
      </c>
      <c r="G159" s="211">
        <f t="shared" si="10"/>
        <v>6149038.6629452575</v>
      </c>
      <c r="H159" s="139">
        <v>1386876.9839470331</v>
      </c>
      <c r="I159" s="139">
        <v>43373.860000000052</v>
      </c>
      <c r="K159" s="212">
        <f t="shared" si="9"/>
        <v>0.18448814188956814</v>
      </c>
      <c r="L159" s="142"/>
    </row>
    <row r="160" spans="1:12" s="139" customFormat="1" x14ac:dyDescent="0.25">
      <c r="A160" s="139" t="s">
        <v>18</v>
      </c>
      <c r="B160" s="110">
        <v>23</v>
      </c>
      <c r="C160" s="139" t="s">
        <v>19</v>
      </c>
      <c r="D160" s="139" t="s">
        <v>7</v>
      </c>
      <c r="E160" s="211">
        <v>2833949.7695562788</v>
      </c>
      <c r="F160" s="211">
        <v>374580.90209812421</v>
      </c>
      <c r="G160" s="211">
        <f t="shared" si="10"/>
        <v>2459368.8674581544</v>
      </c>
      <c r="H160" s="139">
        <v>371878.20206816337</v>
      </c>
      <c r="I160" s="139">
        <v>14844.519999999988</v>
      </c>
      <c r="K160" s="212">
        <f t="shared" si="9"/>
        <v>0.13217626724441683</v>
      </c>
      <c r="L160" s="142"/>
    </row>
    <row r="161" spans="1:12" s="139" customFormat="1" x14ac:dyDescent="0.25">
      <c r="A161" s="139" t="s">
        <v>18</v>
      </c>
      <c r="B161" s="110">
        <v>25</v>
      </c>
      <c r="C161" s="139" t="s">
        <v>24</v>
      </c>
      <c r="D161" s="139" t="s">
        <v>7</v>
      </c>
      <c r="E161" s="211">
        <v>2088526.9987170175</v>
      </c>
      <c r="F161" s="211">
        <v>316682.67529960966</v>
      </c>
      <c r="G161" s="211">
        <f t="shared" si="10"/>
        <v>1771844.3234174079</v>
      </c>
      <c r="H161" s="139">
        <v>229364.29061014342</v>
      </c>
      <c r="I161" s="139">
        <v>11314.949999999957</v>
      </c>
      <c r="K161" s="212">
        <f t="shared" si="9"/>
        <v>0.15162967751632989</v>
      </c>
      <c r="L161" s="142"/>
    </row>
    <row r="162" spans="1:12" s="139" customFormat="1" x14ac:dyDescent="0.25">
      <c r="A162" s="139" t="s">
        <v>18</v>
      </c>
      <c r="B162" s="110">
        <v>32</v>
      </c>
      <c r="C162" s="139" t="s">
        <v>19</v>
      </c>
      <c r="D162" s="139" t="s">
        <v>7</v>
      </c>
      <c r="E162" s="211">
        <v>2105422.0142270997</v>
      </c>
      <c r="F162" s="211">
        <v>407566.91404829116</v>
      </c>
      <c r="G162" s="211">
        <f t="shared" si="10"/>
        <v>1697855.1001788084</v>
      </c>
      <c r="H162" s="139">
        <v>397355.86229024245</v>
      </c>
      <c r="I162" s="139">
        <v>10562.209999999974</v>
      </c>
      <c r="K162" s="212">
        <f t="shared" si="9"/>
        <v>0.19357967727810091</v>
      </c>
      <c r="L162" s="142"/>
    </row>
    <row r="163" spans="1:12" s="139" customFormat="1" x14ac:dyDescent="0.25">
      <c r="A163" s="139" t="s">
        <v>18</v>
      </c>
      <c r="B163" s="110">
        <v>39</v>
      </c>
      <c r="C163" s="139" t="s">
        <v>19</v>
      </c>
      <c r="D163" s="139" t="s">
        <v>7</v>
      </c>
      <c r="E163" s="211">
        <v>220878.33153665464</v>
      </c>
      <c r="F163" s="211">
        <v>31984.016827110099</v>
      </c>
      <c r="G163" s="211">
        <f t="shared" si="10"/>
        <v>188894.31470954453</v>
      </c>
      <c r="H163" s="139">
        <v>27871.701415489952</v>
      </c>
      <c r="I163" s="139">
        <v>682.08999999999878</v>
      </c>
      <c r="K163" s="212">
        <f t="shared" si="9"/>
        <v>0.14480377773861611</v>
      </c>
      <c r="L163" s="142"/>
    </row>
    <row r="164" spans="1:12" s="139" customFormat="1" x14ac:dyDescent="0.25">
      <c r="A164" s="139" t="s">
        <v>18</v>
      </c>
      <c r="B164" s="110">
        <v>46</v>
      </c>
      <c r="C164" s="139" t="s">
        <v>19</v>
      </c>
      <c r="D164" s="139" t="s">
        <v>7</v>
      </c>
      <c r="E164" s="211">
        <v>2878662.5669932058</v>
      </c>
      <c r="F164" s="211">
        <v>302406.47170121007</v>
      </c>
      <c r="G164" s="211">
        <f t="shared" si="10"/>
        <v>2576256.0952919959</v>
      </c>
      <c r="H164" s="139">
        <v>282387.94647009933</v>
      </c>
      <c r="I164" s="139">
        <v>15180.009999999918</v>
      </c>
      <c r="K164" s="212">
        <f t="shared" si="9"/>
        <v>0.1050510313951374</v>
      </c>
      <c r="L164" s="142"/>
    </row>
    <row r="165" spans="1:12" s="139" customFormat="1" x14ac:dyDescent="0.25">
      <c r="A165" s="139" t="s">
        <v>18</v>
      </c>
      <c r="B165" s="110">
        <v>53</v>
      </c>
      <c r="C165" s="139" t="s">
        <v>12</v>
      </c>
      <c r="D165" s="139" t="s">
        <v>7</v>
      </c>
      <c r="E165" s="211">
        <v>850877.04069158121</v>
      </c>
      <c r="F165" s="211">
        <v>246213.65911984246</v>
      </c>
      <c r="G165" s="211">
        <f t="shared" si="10"/>
        <v>604663.38157173875</v>
      </c>
      <c r="H165" s="139">
        <v>181851.70098094665</v>
      </c>
      <c r="I165" s="139">
        <v>4114.4899999999861</v>
      </c>
      <c r="K165" s="212">
        <f t="shared" si="9"/>
        <v>0.28936455838522024</v>
      </c>
      <c r="L165" s="142"/>
    </row>
    <row r="166" spans="1:12" s="139" customFormat="1" x14ac:dyDescent="0.25">
      <c r="A166" s="139" t="s">
        <v>18</v>
      </c>
      <c r="B166" s="110">
        <v>54</v>
      </c>
      <c r="C166" s="139" t="s">
        <v>24</v>
      </c>
      <c r="D166" s="139" t="s">
        <v>7</v>
      </c>
      <c r="E166" s="211">
        <v>6279223.7968083592</v>
      </c>
      <c r="F166" s="211">
        <v>1160368.1008092971</v>
      </c>
      <c r="G166" s="211">
        <f t="shared" si="10"/>
        <v>5118855.6959990617</v>
      </c>
      <c r="H166" s="139">
        <v>1155359.3009982756</v>
      </c>
      <c r="I166" s="139">
        <v>34157.409999999953</v>
      </c>
      <c r="K166" s="212">
        <f t="shared" si="9"/>
        <v>0.18479483107435918</v>
      </c>
      <c r="L166" s="142"/>
    </row>
    <row r="167" spans="1:12" s="139" customFormat="1" x14ac:dyDescent="0.25">
      <c r="A167" s="139" t="s">
        <v>18</v>
      </c>
      <c r="B167" s="110">
        <v>59</v>
      </c>
      <c r="C167" s="139" t="s">
        <v>24</v>
      </c>
      <c r="D167" s="139" t="s">
        <v>7</v>
      </c>
      <c r="E167" s="211">
        <v>941796.04162468773</v>
      </c>
      <c r="F167" s="211">
        <v>221579.80497738809</v>
      </c>
      <c r="G167" s="211">
        <f t="shared" si="10"/>
        <v>720216.23664729961</v>
      </c>
      <c r="H167" s="139">
        <v>138883.43304513514</v>
      </c>
      <c r="I167" s="139">
        <v>4235.6599999999835</v>
      </c>
      <c r="K167" s="212">
        <f t="shared" si="9"/>
        <v>0.23527366349421247</v>
      </c>
      <c r="L167" s="142"/>
    </row>
    <row r="168" spans="1:12" s="139" customFormat="1" x14ac:dyDescent="0.25">
      <c r="A168" s="139" t="s">
        <v>18</v>
      </c>
      <c r="B168" s="110">
        <v>61</v>
      </c>
      <c r="C168" s="139" t="s">
        <v>24</v>
      </c>
      <c r="D168" s="139" t="s">
        <v>7</v>
      </c>
      <c r="E168" s="211">
        <v>3854303.6453860905</v>
      </c>
      <c r="F168" s="211">
        <v>714683.08771698887</v>
      </c>
      <c r="G168" s="211">
        <f t="shared" si="10"/>
        <v>3139620.5576691017</v>
      </c>
      <c r="H168" s="139">
        <v>620602.27813490166</v>
      </c>
      <c r="I168" s="139">
        <v>21756.000000000073</v>
      </c>
      <c r="K168" s="212">
        <f t="shared" si="9"/>
        <v>0.18542469755140378</v>
      </c>
      <c r="L168" s="142"/>
    </row>
    <row r="169" spans="1:12" s="139" customFormat="1" x14ac:dyDescent="0.25">
      <c r="A169" s="139" t="s">
        <v>18</v>
      </c>
      <c r="B169" s="110">
        <v>62</v>
      </c>
      <c r="C169" s="139" t="s">
        <v>24</v>
      </c>
      <c r="D169" s="139" t="s">
        <v>7</v>
      </c>
      <c r="E169" s="211">
        <v>4239345.2568004411</v>
      </c>
      <c r="F169" s="211">
        <v>591695.69637379854</v>
      </c>
      <c r="G169" s="211">
        <f t="shared" si="10"/>
        <v>3647649.5604266427</v>
      </c>
      <c r="H169" s="139">
        <v>639637.39509343007</v>
      </c>
      <c r="I169" s="139">
        <v>22834.660000000058</v>
      </c>
      <c r="K169" s="212">
        <f t="shared" si="9"/>
        <v>0.13957242463907474</v>
      </c>
      <c r="L169" s="142"/>
    </row>
    <row r="170" spans="1:12" s="139" customFormat="1" x14ac:dyDescent="0.25">
      <c r="A170" s="139" t="s">
        <v>18</v>
      </c>
      <c r="B170" s="110">
        <v>63</v>
      </c>
      <c r="C170" s="139" t="s">
        <v>24</v>
      </c>
      <c r="D170" s="139" t="s">
        <v>7</v>
      </c>
      <c r="E170" s="211">
        <v>5453775.9134350559</v>
      </c>
      <c r="F170" s="211">
        <v>1033073.0309554563</v>
      </c>
      <c r="G170" s="211">
        <f t="shared" si="10"/>
        <v>4420702.8824795997</v>
      </c>
      <c r="H170" s="139">
        <v>1023116.5316100802</v>
      </c>
      <c r="I170" s="139">
        <v>31867.579999999856</v>
      </c>
      <c r="K170" s="212">
        <f t="shared" si="9"/>
        <v>0.18942344668224115</v>
      </c>
      <c r="L170" s="142"/>
    </row>
    <row r="171" spans="1:12" s="139" customFormat="1" x14ac:dyDescent="0.25">
      <c r="A171" s="139" t="s">
        <v>18</v>
      </c>
      <c r="B171" s="110">
        <v>64</v>
      </c>
      <c r="C171" s="139" t="s">
        <v>24</v>
      </c>
      <c r="D171" s="139" t="s">
        <v>7</v>
      </c>
      <c r="E171" s="211">
        <v>6036968.8564401576</v>
      </c>
      <c r="F171" s="211">
        <v>1069064.6575304514</v>
      </c>
      <c r="G171" s="211">
        <f t="shared" si="10"/>
        <v>4967904.1989097064</v>
      </c>
      <c r="H171" s="139">
        <v>1106637.2434178148</v>
      </c>
      <c r="I171" s="139">
        <v>32159.050000000112</v>
      </c>
      <c r="K171" s="212">
        <f t="shared" si="9"/>
        <v>0.17708632973814128</v>
      </c>
      <c r="L171" s="142"/>
    </row>
    <row r="172" spans="1:12" s="139" customFormat="1" x14ac:dyDescent="0.25">
      <c r="A172" s="139" t="s">
        <v>18</v>
      </c>
      <c r="B172" s="110">
        <v>65</v>
      </c>
      <c r="C172" s="139" t="s">
        <v>19</v>
      </c>
      <c r="D172" s="139" t="s">
        <v>7</v>
      </c>
      <c r="E172" s="211">
        <v>2431160.5535372626</v>
      </c>
      <c r="F172" s="211">
        <v>227766.13287723821</v>
      </c>
      <c r="G172" s="211">
        <f t="shared" si="10"/>
        <v>2203394.4206600245</v>
      </c>
      <c r="H172" s="139">
        <v>242456.83304655258</v>
      </c>
      <c r="I172" s="139">
        <v>11839.339999999929</v>
      </c>
      <c r="K172" s="212">
        <f t="shared" si="9"/>
        <v>9.3686174919976231E-2</v>
      </c>
      <c r="L172" s="142"/>
    </row>
    <row r="173" spans="1:12" s="139" customFormat="1" x14ac:dyDescent="0.25">
      <c r="A173" s="139" t="s">
        <v>18</v>
      </c>
      <c r="B173" s="110">
        <v>67</v>
      </c>
      <c r="C173" s="139" t="s">
        <v>24</v>
      </c>
      <c r="D173" s="139" t="s">
        <v>7</v>
      </c>
      <c r="E173" s="211">
        <v>2979471.6014236677</v>
      </c>
      <c r="F173" s="211">
        <v>294455.49829735036</v>
      </c>
      <c r="G173" s="211">
        <f t="shared" si="10"/>
        <v>2685016.1031263173</v>
      </c>
      <c r="H173" s="139">
        <v>285247.72617990605</v>
      </c>
      <c r="I173" s="139">
        <v>15835.399999999989</v>
      </c>
      <c r="K173" s="212">
        <f t="shared" si="9"/>
        <v>9.8828093597754713E-2</v>
      </c>
      <c r="L173" s="142"/>
    </row>
    <row r="174" spans="1:12" s="139" customFormat="1" x14ac:dyDescent="0.25">
      <c r="A174" s="139" t="s">
        <v>18</v>
      </c>
      <c r="B174" s="110">
        <v>68</v>
      </c>
      <c r="C174" s="139" t="s">
        <v>24</v>
      </c>
      <c r="D174" s="139" t="s">
        <v>7</v>
      </c>
      <c r="E174" s="211">
        <v>4772499.4708147626</v>
      </c>
      <c r="F174" s="211">
        <v>727220.71499248559</v>
      </c>
      <c r="G174" s="211">
        <f t="shared" si="10"/>
        <v>4045278.7558222772</v>
      </c>
      <c r="H174" s="139">
        <v>745908.75919539412</v>
      </c>
      <c r="I174" s="139">
        <v>26305.199999999877</v>
      </c>
      <c r="K174" s="212">
        <f t="shared" si="9"/>
        <v>0.15237732752819649</v>
      </c>
      <c r="L174" s="142"/>
    </row>
    <row r="175" spans="1:12" s="139" customFormat="1" x14ac:dyDescent="0.25">
      <c r="A175" s="139" t="s">
        <v>18</v>
      </c>
      <c r="B175" s="110">
        <v>70</v>
      </c>
      <c r="C175" s="139" t="s">
        <v>24</v>
      </c>
      <c r="D175" s="139" t="s">
        <v>7</v>
      </c>
      <c r="E175" s="211">
        <v>1801984.1803154997</v>
      </c>
      <c r="F175" s="211">
        <v>243455.91635698607</v>
      </c>
      <c r="G175" s="211">
        <f t="shared" si="10"/>
        <v>1558528.2639585135</v>
      </c>
      <c r="H175" s="139">
        <v>211935.91966920329</v>
      </c>
      <c r="I175" s="139">
        <v>9566.3499999999785</v>
      </c>
      <c r="K175" s="212">
        <f t="shared" si="9"/>
        <v>0.135104358304833</v>
      </c>
      <c r="L175" s="142"/>
    </row>
    <row r="176" spans="1:12" s="139" customFormat="1" x14ac:dyDescent="0.25">
      <c r="A176" s="139" t="s">
        <v>18</v>
      </c>
      <c r="B176" s="110">
        <v>71</v>
      </c>
      <c r="C176" s="139" t="s">
        <v>24</v>
      </c>
      <c r="D176" s="139" t="s">
        <v>7</v>
      </c>
      <c r="E176" s="211">
        <v>3425476.0833892557</v>
      </c>
      <c r="F176" s="211">
        <v>371317.47380909807</v>
      </c>
      <c r="G176" s="211">
        <f t="shared" si="10"/>
        <v>3054158.6095801578</v>
      </c>
      <c r="H176" s="139">
        <v>392869.62825146335</v>
      </c>
      <c r="I176" s="139">
        <v>18363.239999999998</v>
      </c>
      <c r="K176" s="212">
        <f t="shared" si="9"/>
        <v>0.1083987932683818</v>
      </c>
      <c r="L176" s="142"/>
    </row>
    <row r="177" spans="1:12" s="139" customFormat="1" x14ac:dyDescent="0.25">
      <c r="A177" s="139" t="s">
        <v>18</v>
      </c>
      <c r="B177" s="110">
        <v>74</v>
      </c>
      <c r="C177" s="139" t="s">
        <v>24</v>
      </c>
      <c r="D177" s="139" t="s">
        <v>7</v>
      </c>
      <c r="E177" s="211">
        <v>5612809.9073081287</v>
      </c>
      <c r="F177" s="211">
        <v>1066357.1896516674</v>
      </c>
      <c r="G177" s="211">
        <f t="shared" si="10"/>
        <v>4546452.7176564615</v>
      </c>
      <c r="H177" s="139">
        <v>1056653.8539087635</v>
      </c>
      <c r="I177" s="139">
        <v>31594.829999999896</v>
      </c>
      <c r="K177" s="212">
        <f t="shared" si="9"/>
        <v>0.18998633612430429</v>
      </c>
      <c r="L177" s="142"/>
    </row>
    <row r="178" spans="1:12" s="139" customFormat="1" x14ac:dyDescent="0.25">
      <c r="A178" s="139" t="s">
        <v>18</v>
      </c>
      <c r="B178" s="110">
        <v>75</v>
      </c>
      <c r="C178" s="139" t="s">
        <v>24</v>
      </c>
      <c r="D178" s="139" t="s">
        <v>7</v>
      </c>
      <c r="E178" s="211">
        <v>1495917.0716476811</v>
      </c>
      <c r="F178" s="211">
        <v>178446.89112878</v>
      </c>
      <c r="G178" s="211">
        <f t="shared" si="10"/>
        <v>1317470.180518901</v>
      </c>
      <c r="H178" s="139">
        <v>170156.37409372488</v>
      </c>
      <c r="I178" s="139">
        <v>7885.9499999999643</v>
      </c>
      <c r="K178" s="212">
        <f t="shared" si="9"/>
        <v>0.11928929384583417</v>
      </c>
      <c r="L178" s="142"/>
    </row>
    <row r="179" spans="1:12" s="139" customFormat="1" x14ac:dyDescent="0.25">
      <c r="A179" s="139" t="s">
        <v>18</v>
      </c>
      <c r="B179" s="110">
        <v>84</v>
      </c>
      <c r="C179" s="139" t="s">
        <v>19</v>
      </c>
      <c r="D179" s="139" t="s">
        <v>7</v>
      </c>
      <c r="E179" s="211">
        <v>2144630.1114290538</v>
      </c>
      <c r="F179" s="211">
        <v>157895.51757845131</v>
      </c>
      <c r="G179" s="211">
        <f t="shared" si="10"/>
        <v>1986734.5938506024</v>
      </c>
      <c r="H179" s="139">
        <v>185030.96279108719</v>
      </c>
      <c r="I179" s="139">
        <v>10605.02</v>
      </c>
      <c r="K179" s="212">
        <f t="shared" si="9"/>
        <v>7.3623659733677405E-2</v>
      </c>
      <c r="L179" s="142"/>
    </row>
    <row r="180" spans="1:12" s="139" customFormat="1" x14ac:dyDescent="0.25">
      <c r="A180" s="139" t="s">
        <v>18</v>
      </c>
      <c r="B180" s="110">
        <v>94</v>
      </c>
      <c r="C180" s="139" t="s">
        <v>12</v>
      </c>
      <c r="D180" s="139" t="s">
        <v>7</v>
      </c>
      <c r="E180" s="211">
        <v>2621718.3416112987</v>
      </c>
      <c r="F180" s="211">
        <v>671619.38598318968</v>
      </c>
      <c r="G180" s="211">
        <f t="shared" si="10"/>
        <v>1950098.9556281092</v>
      </c>
      <c r="H180" s="139">
        <v>505013.03186638199</v>
      </c>
      <c r="I180" s="139">
        <v>12453.349999999946</v>
      </c>
      <c r="K180" s="212">
        <f t="shared" si="9"/>
        <v>0.25617526311785832</v>
      </c>
      <c r="L180" s="142"/>
    </row>
    <row r="181" spans="1:12" s="139" customFormat="1" x14ac:dyDescent="0.25">
      <c r="A181" s="139" t="s">
        <v>18</v>
      </c>
      <c r="B181" s="110">
        <v>111</v>
      </c>
      <c r="C181" s="139" t="s">
        <v>12</v>
      </c>
      <c r="D181" s="139" t="s">
        <v>7</v>
      </c>
      <c r="E181" s="211">
        <v>133959.62362965973</v>
      </c>
      <c r="F181" s="211">
        <v>29394.357841237565</v>
      </c>
      <c r="G181" s="211">
        <f t="shared" si="10"/>
        <v>104565.26578842217</v>
      </c>
      <c r="H181" s="139">
        <v>16795.630417551667</v>
      </c>
      <c r="I181" s="139">
        <v>554.56000000000063</v>
      </c>
      <c r="K181" s="212">
        <f t="shared" si="9"/>
        <v>0.21942699632017643</v>
      </c>
      <c r="L181" s="142"/>
    </row>
    <row r="182" spans="1:12" s="139" customFormat="1" x14ac:dyDescent="0.25">
      <c r="A182" s="139" t="s">
        <v>18</v>
      </c>
      <c r="B182" s="110">
        <v>113</v>
      </c>
      <c r="C182" s="139" t="s">
        <v>12</v>
      </c>
      <c r="D182" s="139" t="s">
        <v>7</v>
      </c>
      <c r="E182" s="211">
        <v>478295.60635169246</v>
      </c>
      <c r="F182" s="211">
        <v>127869.99676410937</v>
      </c>
      <c r="G182" s="211">
        <f t="shared" si="10"/>
        <v>350425.60958758311</v>
      </c>
      <c r="H182" s="139">
        <v>89183.220852288621</v>
      </c>
      <c r="I182" s="139">
        <v>1778.4800000000073</v>
      </c>
      <c r="K182" s="212">
        <f t="shared" si="9"/>
        <v>0.2673451210214256</v>
      </c>
      <c r="L182" s="142"/>
    </row>
    <row r="183" spans="1:12" s="139" customFormat="1" x14ac:dyDescent="0.25">
      <c r="A183" s="139" t="s">
        <v>18</v>
      </c>
      <c r="B183" s="110">
        <v>114</v>
      </c>
      <c r="C183" s="139" t="s">
        <v>12</v>
      </c>
      <c r="D183" s="139" t="s">
        <v>7</v>
      </c>
      <c r="E183" s="211">
        <v>640337.03949879156</v>
      </c>
      <c r="F183" s="211">
        <v>156447.87799978195</v>
      </c>
      <c r="G183" s="211">
        <f t="shared" si="10"/>
        <v>483889.16149900958</v>
      </c>
      <c r="H183" s="139">
        <v>111062.55832742556</v>
      </c>
      <c r="I183" s="139">
        <v>1952.139999999999</v>
      </c>
      <c r="K183" s="212">
        <f t="shared" si="9"/>
        <v>0.24432114394356724</v>
      </c>
      <c r="L183" s="142"/>
    </row>
    <row r="184" spans="1:12" s="139" customFormat="1" x14ac:dyDescent="0.25">
      <c r="A184" s="139" t="s">
        <v>18</v>
      </c>
      <c r="B184" s="110">
        <v>115</v>
      </c>
      <c r="C184" s="139" t="s">
        <v>12</v>
      </c>
      <c r="D184" s="139" t="s">
        <v>7</v>
      </c>
      <c r="E184" s="211">
        <v>85855.721826147623</v>
      </c>
      <c r="F184" s="211">
        <v>10092.509800885704</v>
      </c>
      <c r="G184" s="211">
        <f t="shared" si="10"/>
        <v>75763.212025261921</v>
      </c>
      <c r="H184" s="139">
        <v>11474.386343809076</v>
      </c>
      <c r="I184" s="139">
        <v>342.52999999999867</v>
      </c>
      <c r="K184" s="212">
        <f t="shared" si="9"/>
        <v>0.11755197657440228</v>
      </c>
      <c r="L184" s="142"/>
    </row>
    <row r="185" spans="1:12" s="139" customFormat="1" x14ac:dyDescent="0.25">
      <c r="A185" s="139" t="s">
        <v>18</v>
      </c>
      <c r="B185" s="110">
        <v>118</v>
      </c>
      <c r="C185" s="139" t="s">
        <v>12</v>
      </c>
      <c r="D185" s="139" t="s">
        <v>7</v>
      </c>
      <c r="E185" s="211">
        <v>118842.66892493381</v>
      </c>
      <c r="F185" s="211">
        <v>26235.781906010194</v>
      </c>
      <c r="G185" s="211">
        <f t="shared" si="10"/>
        <v>92606.887018923619</v>
      </c>
      <c r="H185" s="139">
        <v>15857.929707480849</v>
      </c>
      <c r="I185" s="139">
        <v>503.09999999999786</v>
      </c>
      <c r="K185" s="212">
        <f t="shared" si="9"/>
        <v>0.22076062531532217</v>
      </c>
      <c r="L185" s="142"/>
    </row>
    <row r="186" spans="1:12" s="139" customFormat="1" x14ac:dyDescent="0.25">
      <c r="A186" s="139" t="s">
        <v>18</v>
      </c>
      <c r="B186" s="110">
        <v>129</v>
      </c>
      <c r="C186" s="139" t="s">
        <v>19</v>
      </c>
      <c r="D186" s="139" t="s">
        <v>7</v>
      </c>
      <c r="E186" s="211">
        <v>151220.42736419284</v>
      </c>
      <c r="F186" s="211">
        <v>1787.875563970031</v>
      </c>
      <c r="G186" s="211">
        <f t="shared" si="10"/>
        <v>149432.55180022281</v>
      </c>
      <c r="H186" s="139">
        <v>12511.665890347593</v>
      </c>
      <c r="I186" s="139">
        <v>379.5</v>
      </c>
      <c r="K186" s="212">
        <f t="shared" si="9"/>
        <v>1.1822976532556593E-2</v>
      </c>
      <c r="L186" s="142"/>
    </row>
    <row r="187" spans="1:12" s="139" customFormat="1" x14ac:dyDescent="0.25">
      <c r="A187" s="139" t="s">
        <v>18</v>
      </c>
      <c r="B187" s="110">
        <v>133</v>
      </c>
      <c r="C187" s="139" t="s">
        <v>12</v>
      </c>
      <c r="D187" s="139" t="s">
        <v>7</v>
      </c>
      <c r="E187" s="211">
        <v>571607.35732448078</v>
      </c>
      <c r="F187" s="211">
        <v>124131.65472930628</v>
      </c>
      <c r="G187" s="211">
        <f t="shared" si="10"/>
        <v>447475.70259517449</v>
      </c>
      <c r="H187" s="139">
        <v>67689.751368464014</v>
      </c>
      <c r="I187" s="139">
        <v>2174.4900000000016</v>
      </c>
      <c r="K187" s="212">
        <f t="shared" si="9"/>
        <v>0.21716245100540446</v>
      </c>
      <c r="L187" s="142"/>
    </row>
    <row r="188" spans="1:12" s="139" customFormat="1" x14ac:dyDescent="0.25">
      <c r="A188" s="139" t="s">
        <v>18</v>
      </c>
      <c r="B188" s="110">
        <v>134</v>
      </c>
      <c r="C188" s="139" t="s">
        <v>12</v>
      </c>
      <c r="D188" s="139" t="s">
        <v>7</v>
      </c>
      <c r="E188" s="211">
        <v>862524.50783876283</v>
      </c>
      <c r="F188" s="211">
        <v>265157.16324071208</v>
      </c>
      <c r="G188" s="211">
        <f t="shared" si="10"/>
        <v>597367.34459805069</v>
      </c>
      <c r="H188" s="139">
        <v>133418.00711442367</v>
      </c>
      <c r="I188" s="139">
        <v>3411.5099999999975</v>
      </c>
      <c r="K188" s="212">
        <f t="shared" si="9"/>
        <v>0.30741985976157282</v>
      </c>
      <c r="L188" s="142"/>
    </row>
    <row r="189" spans="1:12" s="139" customFormat="1" x14ac:dyDescent="0.25">
      <c r="A189" s="139" t="s">
        <v>18</v>
      </c>
      <c r="B189" s="110">
        <v>135</v>
      </c>
      <c r="C189" s="139" t="s">
        <v>12</v>
      </c>
      <c r="D189" s="139" t="s">
        <v>7</v>
      </c>
      <c r="E189" s="211">
        <v>473489.47911681468</v>
      </c>
      <c r="F189" s="211">
        <v>144449.75203702497</v>
      </c>
      <c r="G189" s="211">
        <f t="shared" si="10"/>
        <v>329039.72707978974</v>
      </c>
      <c r="H189" s="139">
        <v>70936.436349129566</v>
      </c>
      <c r="I189" s="139">
        <v>1730.9699999999957</v>
      </c>
      <c r="K189" s="212">
        <f t="shared" si="9"/>
        <v>0.30507489270186666</v>
      </c>
      <c r="L189" s="142"/>
    </row>
    <row r="190" spans="1:12" s="139" customFormat="1" x14ac:dyDescent="0.25">
      <c r="A190" s="139" t="s">
        <v>18</v>
      </c>
      <c r="B190" s="110">
        <v>141</v>
      </c>
      <c r="C190" s="139" t="s">
        <v>24</v>
      </c>
      <c r="D190" s="139" t="s">
        <v>7</v>
      </c>
      <c r="E190" s="211">
        <v>439205.77150801738</v>
      </c>
      <c r="F190" s="211">
        <v>141847.99507788455</v>
      </c>
      <c r="G190" s="211">
        <f t="shared" si="10"/>
        <v>297357.7764301328</v>
      </c>
      <c r="H190" s="139">
        <v>84768.559102220694</v>
      </c>
      <c r="I190" s="139">
        <v>2302.1400000000026</v>
      </c>
      <c r="K190" s="212">
        <f t="shared" si="9"/>
        <v>0.32296477933531714</v>
      </c>
      <c r="L190" s="142"/>
    </row>
    <row r="191" spans="1:12" s="139" customFormat="1" x14ac:dyDescent="0.25">
      <c r="A191" s="139" t="s">
        <v>18</v>
      </c>
      <c r="B191" s="110">
        <v>146</v>
      </c>
      <c r="C191" s="139" t="s">
        <v>12</v>
      </c>
      <c r="D191" s="139" t="s">
        <v>7</v>
      </c>
      <c r="E191" s="211">
        <v>856960.67642465525</v>
      </c>
      <c r="F191" s="211">
        <v>201778.8472447235</v>
      </c>
      <c r="G191" s="211">
        <f t="shared" si="10"/>
        <v>655181.82917993178</v>
      </c>
      <c r="H191" s="139">
        <v>94726.442748990448</v>
      </c>
      <c r="I191" s="139">
        <v>3318.5899999999901</v>
      </c>
      <c r="K191" s="212">
        <f t="shared" si="9"/>
        <v>0.23545870049320061</v>
      </c>
      <c r="L191" s="142"/>
    </row>
    <row r="192" spans="1:12" s="139" customFormat="1" x14ac:dyDescent="0.25">
      <c r="A192" s="139" t="s">
        <v>18</v>
      </c>
      <c r="B192" s="110">
        <v>156</v>
      </c>
      <c r="C192" s="139" t="s">
        <v>12</v>
      </c>
      <c r="D192" s="139" t="s">
        <v>7</v>
      </c>
      <c r="E192" s="211">
        <v>955165.18868548679</v>
      </c>
      <c r="F192" s="211">
        <v>305983.74483223859</v>
      </c>
      <c r="G192" s="211">
        <f t="shared" si="10"/>
        <v>649181.44385324814</v>
      </c>
      <c r="H192" s="139">
        <v>115334.07550007117</v>
      </c>
      <c r="I192" s="139">
        <v>4265.1499999999869</v>
      </c>
      <c r="K192" s="212">
        <f t="shared" si="9"/>
        <v>0.32034641594647956</v>
      </c>
      <c r="L192" s="142"/>
    </row>
    <row r="193" spans="1:12" s="139" customFormat="1" x14ac:dyDescent="0.25">
      <c r="A193" s="139" t="s">
        <v>18</v>
      </c>
      <c r="B193" s="110">
        <v>250</v>
      </c>
      <c r="C193" s="139" t="s">
        <v>12</v>
      </c>
      <c r="D193" s="139" t="s">
        <v>7</v>
      </c>
      <c r="E193" s="211">
        <v>2730364.3199935695</v>
      </c>
      <c r="F193" s="211">
        <v>1178497.4210856643</v>
      </c>
      <c r="G193" s="211">
        <f t="shared" si="10"/>
        <v>1551866.8989079052</v>
      </c>
      <c r="H193" s="139">
        <v>428363.25977491826</v>
      </c>
      <c r="I193" s="139">
        <v>10315.439999999955</v>
      </c>
      <c r="K193" s="212">
        <f t="shared" si="9"/>
        <v>0.43162643624365843</v>
      </c>
      <c r="L193" s="142"/>
    </row>
    <row r="194" spans="1:12" s="139" customFormat="1" x14ac:dyDescent="0.25">
      <c r="A194" s="139" t="s">
        <v>18</v>
      </c>
      <c r="B194" s="110">
        <v>252</v>
      </c>
      <c r="C194" s="139" t="s">
        <v>12</v>
      </c>
      <c r="D194" s="139" t="s">
        <v>7</v>
      </c>
      <c r="E194" s="211">
        <v>134578.43829509523</v>
      </c>
      <c r="F194" s="211">
        <v>42927.833688856423</v>
      </c>
      <c r="G194" s="211">
        <f t="shared" si="10"/>
        <v>91650.604606238805</v>
      </c>
      <c r="H194" s="139">
        <v>20052.68819368261</v>
      </c>
      <c r="I194" s="139">
        <v>506.15000000000026</v>
      </c>
      <c r="K194" s="212">
        <f t="shared" ref="K194:K257" si="11">F194/E194</f>
        <v>0.31898002557235017</v>
      </c>
      <c r="L194" s="142"/>
    </row>
    <row r="195" spans="1:12" s="139" customFormat="1" x14ac:dyDescent="0.25">
      <c r="A195" s="139" t="s">
        <v>18</v>
      </c>
      <c r="B195" s="110">
        <v>261</v>
      </c>
      <c r="C195" s="139" t="s">
        <v>12</v>
      </c>
      <c r="D195" s="139" t="s">
        <v>7</v>
      </c>
      <c r="E195" s="211">
        <v>637625.25612048525</v>
      </c>
      <c r="F195" s="211">
        <v>264603.74925871426</v>
      </c>
      <c r="G195" s="211">
        <f t="shared" si="10"/>
        <v>373021.50686177099</v>
      </c>
      <c r="H195" s="139">
        <v>92623.87710815687</v>
      </c>
      <c r="I195" s="139">
        <v>2277</v>
      </c>
      <c r="K195" s="212">
        <f t="shared" si="11"/>
        <v>0.4149831687481258</v>
      </c>
      <c r="L195" s="142"/>
    </row>
    <row r="196" spans="1:12" s="139" customFormat="1" x14ac:dyDescent="0.25">
      <c r="A196" s="139" t="s">
        <v>18</v>
      </c>
      <c r="B196" s="110">
        <v>262</v>
      </c>
      <c r="C196" s="139" t="s">
        <v>24</v>
      </c>
      <c r="D196" s="139" t="s">
        <v>7</v>
      </c>
      <c r="E196" s="211">
        <v>240032.70814741889</v>
      </c>
      <c r="F196" s="211">
        <v>40790.648659634797</v>
      </c>
      <c r="G196" s="211">
        <f t="shared" si="10"/>
        <v>199242.05948778411</v>
      </c>
      <c r="H196" s="139">
        <v>23081.544469575081</v>
      </c>
      <c r="I196" s="139">
        <v>1029.1399999999996</v>
      </c>
      <c r="K196" s="212">
        <f t="shared" si="11"/>
        <v>0.16993787627718945</v>
      </c>
      <c r="L196" s="142"/>
    </row>
    <row r="197" spans="1:12" s="139" customFormat="1" x14ac:dyDescent="0.25">
      <c r="A197" s="139" t="s">
        <v>18</v>
      </c>
      <c r="B197" s="110">
        <v>263</v>
      </c>
      <c r="C197" s="139" t="s">
        <v>12</v>
      </c>
      <c r="D197" s="139" t="s">
        <v>7</v>
      </c>
      <c r="E197" s="211">
        <v>494562.18119042413</v>
      </c>
      <c r="F197" s="211">
        <v>211374.15961358708</v>
      </c>
      <c r="G197" s="211">
        <f t="shared" si="10"/>
        <v>283188.02157683705</v>
      </c>
      <c r="H197" s="139">
        <v>74728.730371274389</v>
      </c>
      <c r="I197" s="139">
        <v>1666.440000000001</v>
      </c>
      <c r="K197" s="212">
        <f t="shared" si="11"/>
        <v>0.42739652899622033</v>
      </c>
      <c r="L197" s="142"/>
    </row>
    <row r="198" spans="1:12" s="139" customFormat="1" x14ac:dyDescent="0.25">
      <c r="A198" s="139" t="s">
        <v>18</v>
      </c>
      <c r="B198" s="110">
        <v>264</v>
      </c>
      <c r="C198" s="139" t="s">
        <v>12</v>
      </c>
      <c r="D198" s="139" t="s">
        <v>7</v>
      </c>
      <c r="E198" s="211">
        <v>964070.6192929449</v>
      </c>
      <c r="F198" s="211">
        <v>362344.33874125831</v>
      </c>
      <c r="G198" s="211">
        <f t="shared" si="10"/>
        <v>601726.28055168665</v>
      </c>
      <c r="H198" s="139">
        <v>142055.4338984499</v>
      </c>
      <c r="I198" s="139">
        <v>3761.5700000000165</v>
      </c>
      <c r="K198" s="212">
        <f t="shared" si="11"/>
        <v>0.37584833671936169</v>
      </c>
      <c r="L198" s="142"/>
    </row>
    <row r="199" spans="1:12" s="139" customFormat="1" x14ac:dyDescent="0.25">
      <c r="A199" s="139" t="s">
        <v>18</v>
      </c>
      <c r="B199" s="110">
        <v>265</v>
      </c>
      <c r="C199" s="139" t="s">
        <v>12</v>
      </c>
      <c r="D199" s="139" t="s">
        <v>7</v>
      </c>
      <c r="E199" s="211">
        <v>396609.32022687444</v>
      </c>
      <c r="F199" s="211">
        <v>129715.88406118518</v>
      </c>
      <c r="G199" s="211">
        <f t="shared" si="10"/>
        <v>266893.43616568926</v>
      </c>
      <c r="H199" s="139">
        <v>50090.229302344989</v>
      </c>
      <c r="I199" s="139">
        <v>1839.3099999999963</v>
      </c>
      <c r="K199" s="212">
        <f t="shared" si="11"/>
        <v>0.32706211741817653</v>
      </c>
      <c r="L199" s="142"/>
    </row>
    <row r="200" spans="1:12" s="139" customFormat="1" x14ac:dyDescent="0.25">
      <c r="A200" s="139" t="s">
        <v>18</v>
      </c>
      <c r="B200" s="110">
        <v>270</v>
      </c>
      <c r="C200" s="139" t="s">
        <v>12</v>
      </c>
      <c r="D200" s="139" t="s">
        <v>7</v>
      </c>
      <c r="E200" s="211">
        <v>2062861.3166821783</v>
      </c>
      <c r="F200" s="211">
        <v>963317.9513013782</v>
      </c>
      <c r="G200" s="211">
        <f t="shared" si="10"/>
        <v>1099543.3653808001</v>
      </c>
      <c r="H200" s="139">
        <v>340371.87312160246</v>
      </c>
      <c r="I200" s="139">
        <v>7490.4800000000196</v>
      </c>
      <c r="K200" s="212">
        <f t="shared" si="11"/>
        <v>0.46698144151092974</v>
      </c>
      <c r="L200" s="142"/>
    </row>
    <row r="201" spans="1:12" s="139" customFormat="1" x14ac:dyDescent="0.25">
      <c r="A201" s="139" t="s">
        <v>18</v>
      </c>
      <c r="B201" s="110">
        <v>272</v>
      </c>
      <c r="C201" s="139" t="s">
        <v>12</v>
      </c>
      <c r="D201" s="139" t="s">
        <v>7</v>
      </c>
      <c r="E201" s="211">
        <v>165546.67444086209</v>
      </c>
      <c r="F201" s="211">
        <v>24021.911336557943</v>
      </c>
      <c r="G201" s="211">
        <f t="shared" si="10"/>
        <v>141524.76310430415</v>
      </c>
      <c r="H201" s="139">
        <v>10466.150624573638</v>
      </c>
      <c r="I201" s="139">
        <v>648.15000000000077</v>
      </c>
      <c r="K201" s="212">
        <f t="shared" si="11"/>
        <v>0.14510657745129904</v>
      </c>
      <c r="L201" s="142"/>
    </row>
    <row r="202" spans="1:12" s="139" customFormat="1" x14ac:dyDescent="0.25">
      <c r="A202" s="139" t="s">
        <v>18</v>
      </c>
      <c r="B202" s="110">
        <v>275</v>
      </c>
      <c r="C202" s="139" t="s">
        <v>12</v>
      </c>
      <c r="D202" s="139" t="s">
        <v>7</v>
      </c>
      <c r="E202" s="211">
        <v>704732.26872765506</v>
      </c>
      <c r="F202" s="211">
        <v>273857.10851058754</v>
      </c>
      <c r="G202" s="211">
        <f t="shared" si="10"/>
        <v>430875.16021706752</v>
      </c>
      <c r="H202" s="139">
        <v>103058.90934633436</v>
      </c>
      <c r="I202" s="139">
        <v>2765.2899999999931</v>
      </c>
      <c r="K202" s="212">
        <f t="shared" si="11"/>
        <v>0.38859737330464156</v>
      </c>
      <c r="L202" s="142"/>
    </row>
    <row r="203" spans="1:12" s="139" customFormat="1" x14ac:dyDescent="0.25">
      <c r="A203" s="139" t="s">
        <v>18</v>
      </c>
      <c r="B203" s="110">
        <v>288</v>
      </c>
      <c r="C203" s="139" t="s">
        <v>12</v>
      </c>
      <c r="D203" s="139" t="s">
        <v>7</v>
      </c>
      <c r="E203" s="211">
        <v>1134765.8317502292</v>
      </c>
      <c r="F203" s="211">
        <v>396927.03925204166</v>
      </c>
      <c r="G203" s="211">
        <f t="shared" si="10"/>
        <v>737838.79249818763</v>
      </c>
      <c r="H203" s="139">
        <v>139538.99371854746</v>
      </c>
      <c r="I203" s="139">
        <v>4260.520000000015</v>
      </c>
      <c r="K203" s="212">
        <f t="shared" si="11"/>
        <v>0.34978761974162825</v>
      </c>
      <c r="L203" s="142"/>
    </row>
    <row r="204" spans="1:12" s="139" customFormat="1" x14ac:dyDescent="0.25">
      <c r="A204" s="139" t="s">
        <v>18</v>
      </c>
      <c r="B204" s="110">
        <v>294</v>
      </c>
      <c r="C204" s="139" t="s">
        <v>12</v>
      </c>
      <c r="D204" s="139" t="s">
        <v>7</v>
      </c>
      <c r="E204" s="211">
        <v>794054.72782393638</v>
      </c>
      <c r="F204" s="211">
        <v>164547.83209057816</v>
      </c>
      <c r="G204" s="211">
        <f t="shared" si="10"/>
        <v>629506.89573335822</v>
      </c>
      <c r="H204" s="139">
        <v>70717.570364809944</v>
      </c>
      <c r="I204" s="139">
        <v>4143.6799999999985</v>
      </c>
      <c r="K204" s="212">
        <f t="shared" si="11"/>
        <v>0.20722479990958872</v>
      </c>
      <c r="L204" s="142"/>
    </row>
    <row r="205" spans="1:12" s="139" customFormat="1" x14ac:dyDescent="0.25">
      <c r="A205" s="139" t="s">
        <v>18</v>
      </c>
      <c r="B205" s="110">
        <v>351</v>
      </c>
      <c r="C205" s="139" t="s">
        <v>12</v>
      </c>
      <c r="D205" s="139" t="s">
        <v>7</v>
      </c>
      <c r="E205" s="211">
        <v>430619.37423918245</v>
      </c>
      <c r="F205" s="211">
        <v>186519.52721542286</v>
      </c>
      <c r="G205" s="211">
        <f t="shared" si="10"/>
        <v>244099.84702375959</v>
      </c>
      <c r="H205" s="139">
        <v>73320.104747075078</v>
      </c>
      <c r="I205" s="139">
        <v>1769.7200000000003</v>
      </c>
      <c r="K205" s="212">
        <f t="shared" si="11"/>
        <v>0.43314244173283012</v>
      </c>
      <c r="L205" s="142"/>
    </row>
    <row r="206" spans="1:12" s="139" customFormat="1" x14ac:dyDescent="0.25">
      <c r="A206" s="139" t="s">
        <v>18</v>
      </c>
      <c r="B206" s="110">
        <v>353</v>
      </c>
      <c r="C206" s="139" t="s">
        <v>12</v>
      </c>
      <c r="D206" s="139" t="s">
        <v>7</v>
      </c>
      <c r="E206" s="211">
        <v>63219.481364536485</v>
      </c>
      <c r="F206" s="211">
        <v>15755.854024078901</v>
      </c>
      <c r="G206" s="211">
        <f t="shared" si="10"/>
        <v>47463.627340457584</v>
      </c>
      <c r="H206" s="139">
        <v>8122.9361289431272</v>
      </c>
      <c r="I206" s="139">
        <v>201.7199999999996</v>
      </c>
      <c r="K206" s="212">
        <f t="shared" si="11"/>
        <v>0.24922466435982632</v>
      </c>
      <c r="L206" s="142"/>
    </row>
    <row r="207" spans="1:12" s="139" customFormat="1" x14ac:dyDescent="0.25">
      <c r="A207" s="139" t="s">
        <v>18</v>
      </c>
      <c r="B207" s="110">
        <v>355</v>
      </c>
      <c r="C207" s="139" t="s">
        <v>12</v>
      </c>
      <c r="D207" s="139" t="s">
        <v>7</v>
      </c>
      <c r="E207" s="211">
        <v>1379128.867411989</v>
      </c>
      <c r="F207" s="211">
        <v>707597.71454402036</v>
      </c>
      <c r="G207" s="211">
        <f t="shared" ref="G207:G270" si="12">E207-F207</f>
        <v>671531.15286796866</v>
      </c>
      <c r="H207" s="139">
        <v>249820.48054742953</v>
      </c>
      <c r="I207" s="139">
        <v>5349.439999999985</v>
      </c>
      <c r="K207" s="212">
        <f t="shared" si="11"/>
        <v>0.51307584901175063</v>
      </c>
      <c r="L207" s="142"/>
    </row>
    <row r="208" spans="1:12" s="139" customFormat="1" x14ac:dyDescent="0.25">
      <c r="A208" s="139" t="s">
        <v>18</v>
      </c>
      <c r="B208" s="110">
        <v>361</v>
      </c>
      <c r="C208" s="139" t="s">
        <v>12</v>
      </c>
      <c r="D208" s="139" t="s">
        <v>7</v>
      </c>
      <c r="E208" s="211">
        <v>461778.7553593833</v>
      </c>
      <c r="F208" s="211">
        <v>134184.45585986896</v>
      </c>
      <c r="G208" s="211">
        <f t="shared" si="12"/>
        <v>327594.29949951434</v>
      </c>
      <c r="H208" s="139">
        <v>51104.68869885966</v>
      </c>
      <c r="I208" s="139">
        <v>1641.6900000000014</v>
      </c>
      <c r="K208" s="212">
        <f t="shared" si="11"/>
        <v>0.2905817002244695</v>
      </c>
      <c r="L208" s="142"/>
    </row>
    <row r="209" spans="1:12" s="139" customFormat="1" x14ac:dyDescent="0.25">
      <c r="A209" s="139" t="s">
        <v>18</v>
      </c>
      <c r="B209" s="110">
        <v>365</v>
      </c>
      <c r="C209" s="139" t="s">
        <v>12</v>
      </c>
      <c r="D209" s="139" t="s">
        <v>7</v>
      </c>
      <c r="E209" s="211">
        <v>1222622.3876612778</v>
      </c>
      <c r="F209" s="211">
        <v>469615.12617848028</v>
      </c>
      <c r="G209" s="211">
        <f t="shared" si="12"/>
        <v>753007.26148279756</v>
      </c>
      <c r="H209" s="139">
        <v>162455.61074022294</v>
      </c>
      <c r="I209" s="139">
        <v>4171.1500000000133</v>
      </c>
      <c r="K209" s="212">
        <f t="shared" si="11"/>
        <v>0.38410479876521375</v>
      </c>
      <c r="L209" s="142"/>
    </row>
    <row r="210" spans="1:12" s="139" customFormat="1" x14ac:dyDescent="0.25">
      <c r="A210" s="139" t="s">
        <v>18</v>
      </c>
      <c r="B210" s="110">
        <v>375</v>
      </c>
      <c r="C210" s="139" t="s">
        <v>12</v>
      </c>
      <c r="D210" s="139" t="s">
        <v>7</v>
      </c>
      <c r="E210" s="211">
        <v>948039.19402706984</v>
      </c>
      <c r="F210" s="211">
        <v>490558.41552410985</v>
      </c>
      <c r="G210" s="211">
        <f t="shared" si="12"/>
        <v>457480.77850295999</v>
      </c>
      <c r="H210" s="139">
        <v>168915.78775606482</v>
      </c>
      <c r="I210" s="139">
        <v>3340.9400000000151</v>
      </c>
      <c r="K210" s="212">
        <f t="shared" si="11"/>
        <v>0.51744528983060445</v>
      </c>
      <c r="L210" s="142"/>
    </row>
    <row r="211" spans="1:12" s="139" customFormat="1" x14ac:dyDescent="0.25">
      <c r="A211" s="139" t="s">
        <v>18</v>
      </c>
      <c r="B211" s="110">
        <v>415</v>
      </c>
      <c r="C211" s="139" t="s">
        <v>20</v>
      </c>
      <c r="D211" s="139" t="s">
        <v>7</v>
      </c>
      <c r="E211" s="211">
        <v>62904.573457015409</v>
      </c>
      <c r="F211" s="211">
        <v>2070.9583820097164</v>
      </c>
      <c r="G211" s="211">
        <f t="shared" si="12"/>
        <v>60833.615075005691</v>
      </c>
      <c r="H211" s="139">
        <v>3053.7509850093943</v>
      </c>
      <c r="I211" s="139">
        <v>270.70999999999873</v>
      </c>
      <c r="K211" s="212">
        <f t="shared" si="11"/>
        <v>3.2922222792351734E-2</v>
      </c>
      <c r="L211" s="142"/>
    </row>
    <row r="212" spans="1:12" s="139" customFormat="1" x14ac:dyDescent="0.25">
      <c r="A212" s="139" t="s">
        <v>18</v>
      </c>
      <c r="B212" s="110">
        <v>452</v>
      </c>
      <c r="C212" s="139" t="s">
        <v>12</v>
      </c>
      <c r="D212" s="139" t="s">
        <v>7</v>
      </c>
      <c r="E212" s="211">
        <v>269926.95706273185</v>
      </c>
      <c r="F212" s="211">
        <v>86741.814650299129</v>
      </c>
      <c r="G212" s="211">
        <f t="shared" si="12"/>
        <v>183185.1424124327</v>
      </c>
      <c r="H212" s="139">
        <v>31286.425682694753</v>
      </c>
      <c r="I212" s="139">
        <v>1295.3599999999949</v>
      </c>
      <c r="K212" s="212">
        <f t="shared" si="11"/>
        <v>0.32135291559686668</v>
      </c>
      <c r="L212" s="142"/>
    </row>
    <row r="213" spans="1:12" s="139" customFormat="1" x14ac:dyDescent="0.25">
      <c r="A213" s="139" t="s">
        <v>18</v>
      </c>
      <c r="B213" s="110">
        <v>467</v>
      </c>
      <c r="C213" s="139" t="s">
        <v>12</v>
      </c>
      <c r="D213" s="139" t="s">
        <v>7</v>
      </c>
      <c r="E213" s="211">
        <v>1760798.6264715514</v>
      </c>
      <c r="F213" s="211">
        <v>846560.0990867503</v>
      </c>
      <c r="G213" s="211">
        <f t="shared" si="12"/>
        <v>914238.52738480107</v>
      </c>
      <c r="H213" s="139">
        <v>290882.22867670329</v>
      </c>
      <c r="I213" s="139">
        <v>5792.1599999999808</v>
      </c>
      <c r="K213" s="212">
        <f t="shared" si="11"/>
        <v>0.48078189428348461</v>
      </c>
      <c r="L213" s="142"/>
    </row>
    <row r="214" spans="1:12" s="139" customFormat="1" x14ac:dyDescent="0.25">
      <c r="A214" s="139" t="s">
        <v>18</v>
      </c>
      <c r="B214" s="110">
        <v>515</v>
      </c>
      <c r="C214" s="139" t="s">
        <v>20</v>
      </c>
      <c r="D214" s="139" t="s">
        <v>7</v>
      </c>
      <c r="E214" s="211">
        <v>3276392.6293363599</v>
      </c>
      <c r="F214" s="211">
        <v>334540.14240893041</v>
      </c>
      <c r="G214" s="211">
        <f t="shared" si="12"/>
        <v>2941852.4869274297</v>
      </c>
      <c r="H214" s="139">
        <v>375224.46588529664</v>
      </c>
      <c r="I214" s="139">
        <v>15885.500000000018</v>
      </c>
      <c r="K214" s="212">
        <f t="shared" si="11"/>
        <v>0.10210624313261632</v>
      </c>
      <c r="L214" s="142"/>
    </row>
    <row r="215" spans="1:12" s="139" customFormat="1" x14ac:dyDescent="0.25">
      <c r="A215" s="139" t="s">
        <v>18</v>
      </c>
      <c r="B215" s="110">
        <v>535</v>
      </c>
      <c r="C215" s="139" t="s">
        <v>12</v>
      </c>
      <c r="D215" s="139" t="s">
        <v>7</v>
      </c>
      <c r="E215" s="211">
        <v>3715265.6160687543</v>
      </c>
      <c r="F215" s="211">
        <v>576140.50284665648</v>
      </c>
      <c r="G215" s="211">
        <f t="shared" si="12"/>
        <v>3139125.113222098</v>
      </c>
      <c r="H215" s="139">
        <v>366046.61645752384</v>
      </c>
      <c r="I215" s="139">
        <v>18712.449999999943</v>
      </c>
      <c r="K215" s="212">
        <f t="shared" si="11"/>
        <v>0.15507383923098608</v>
      </c>
      <c r="L215" s="142"/>
    </row>
    <row r="216" spans="1:12" s="139" customFormat="1" x14ac:dyDescent="0.25">
      <c r="A216" s="139" t="s">
        <v>18</v>
      </c>
      <c r="B216" s="110">
        <v>552</v>
      </c>
      <c r="C216" s="139" t="s">
        <v>12</v>
      </c>
      <c r="D216" s="139" t="s">
        <v>7</v>
      </c>
      <c r="E216" s="211">
        <v>553702.9863378976</v>
      </c>
      <c r="F216" s="211">
        <v>120431.07983524525</v>
      </c>
      <c r="G216" s="211">
        <f t="shared" si="12"/>
        <v>433271.90650265233</v>
      </c>
      <c r="H216" s="139">
        <v>44282.501121275833</v>
      </c>
      <c r="I216" s="139">
        <v>2205.3700000000035</v>
      </c>
      <c r="K216" s="212">
        <f t="shared" si="11"/>
        <v>0.21750122864923851</v>
      </c>
      <c r="L216" s="142"/>
    </row>
    <row r="217" spans="1:12" s="139" customFormat="1" x14ac:dyDescent="0.25">
      <c r="A217" s="139" t="s">
        <v>18</v>
      </c>
      <c r="B217" s="110">
        <v>553</v>
      </c>
      <c r="C217" s="139" t="s">
        <v>12</v>
      </c>
      <c r="D217" s="139" t="s">
        <v>7</v>
      </c>
      <c r="E217" s="211">
        <v>632703.61681472824</v>
      </c>
      <c r="F217" s="211">
        <v>138897.5042828657</v>
      </c>
      <c r="G217" s="211">
        <f t="shared" si="12"/>
        <v>493806.11253186257</v>
      </c>
      <c r="H217" s="139">
        <v>53221.776253344768</v>
      </c>
      <c r="I217" s="139">
        <v>2460.9599999999991</v>
      </c>
      <c r="K217" s="212">
        <f t="shared" si="11"/>
        <v>0.21953012530911203</v>
      </c>
      <c r="L217" s="142"/>
    </row>
    <row r="218" spans="1:12" s="139" customFormat="1" x14ac:dyDescent="0.25">
      <c r="A218" s="139" t="s">
        <v>18</v>
      </c>
      <c r="B218" s="110">
        <v>554</v>
      </c>
      <c r="C218" s="139" t="s">
        <v>12</v>
      </c>
      <c r="D218" s="139" t="s">
        <v>7</v>
      </c>
      <c r="E218" s="211">
        <v>686044.06583151687</v>
      </c>
      <c r="F218" s="211">
        <v>165914.65915910376</v>
      </c>
      <c r="G218" s="211">
        <f t="shared" si="12"/>
        <v>520129.40667241311</v>
      </c>
      <c r="H218" s="139">
        <v>74726.655812181314</v>
      </c>
      <c r="I218" s="139">
        <v>3117.9599999999846</v>
      </c>
      <c r="K218" s="212">
        <f t="shared" si="11"/>
        <v>0.24184256875395838</v>
      </c>
      <c r="L218" s="142"/>
    </row>
    <row r="219" spans="1:12" s="139" customFormat="1" x14ac:dyDescent="0.25">
      <c r="A219" s="139" t="s">
        <v>18</v>
      </c>
      <c r="B219" s="110">
        <v>558</v>
      </c>
      <c r="C219" s="139" t="s">
        <v>12</v>
      </c>
      <c r="D219" s="139" t="s">
        <v>7</v>
      </c>
      <c r="E219" s="211">
        <v>569701.40815493907</v>
      </c>
      <c r="F219" s="211">
        <v>96851.964076723874</v>
      </c>
      <c r="G219" s="211">
        <f t="shared" si="12"/>
        <v>472849.44407821517</v>
      </c>
      <c r="H219" s="139">
        <v>38029.780014741649</v>
      </c>
      <c r="I219" s="139">
        <v>2360.4999999999955</v>
      </c>
      <c r="K219" s="212">
        <f t="shared" si="11"/>
        <v>0.17000478266394506</v>
      </c>
      <c r="L219" s="142"/>
    </row>
    <row r="220" spans="1:12" s="139" customFormat="1" x14ac:dyDescent="0.25">
      <c r="A220" s="139" t="s">
        <v>18</v>
      </c>
      <c r="B220" s="110">
        <v>578</v>
      </c>
      <c r="C220" s="139" t="s">
        <v>12</v>
      </c>
      <c r="D220" s="139" t="s">
        <v>7</v>
      </c>
      <c r="E220" s="211">
        <v>843463.6409996727</v>
      </c>
      <c r="F220" s="211">
        <v>263110.16665091686</v>
      </c>
      <c r="G220" s="211">
        <f t="shared" si="12"/>
        <v>580353.47434875579</v>
      </c>
      <c r="H220" s="139">
        <v>99808.075247482659</v>
      </c>
      <c r="I220" s="139">
        <v>3532.4900000000162</v>
      </c>
      <c r="K220" s="212">
        <f t="shared" si="11"/>
        <v>0.31194014046542518</v>
      </c>
      <c r="L220" s="142"/>
    </row>
    <row r="221" spans="1:12" s="139" customFormat="1" x14ac:dyDescent="0.25">
      <c r="A221" s="139" t="s">
        <v>18</v>
      </c>
      <c r="B221" s="110">
        <v>579</v>
      </c>
      <c r="C221" s="139" t="s">
        <v>12</v>
      </c>
      <c r="D221" s="139" t="s">
        <v>7</v>
      </c>
      <c r="E221" s="211">
        <v>193049.548460194</v>
      </c>
      <c r="F221" s="211">
        <v>40751.086335762644</v>
      </c>
      <c r="G221" s="211">
        <f t="shared" si="12"/>
        <v>152298.46212443136</v>
      </c>
      <c r="H221" s="139">
        <v>20954.084119624582</v>
      </c>
      <c r="I221" s="139">
        <v>559.90000000000089</v>
      </c>
      <c r="K221" s="212">
        <f t="shared" si="11"/>
        <v>0.2110913320481832</v>
      </c>
      <c r="L221" s="142"/>
    </row>
    <row r="222" spans="1:12" s="139" customFormat="1" x14ac:dyDescent="0.25">
      <c r="A222" s="139" t="s">
        <v>18</v>
      </c>
      <c r="B222" s="110">
        <v>587</v>
      </c>
      <c r="C222" s="139" t="s">
        <v>12</v>
      </c>
      <c r="D222" s="139" t="s">
        <v>7</v>
      </c>
      <c r="E222" s="211">
        <v>426988.99486862961</v>
      </c>
      <c r="F222" s="211">
        <v>166735.62372249397</v>
      </c>
      <c r="G222" s="211">
        <f t="shared" si="12"/>
        <v>260253.37114613564</v>
      </c>
      <c r="H222" s="139">
        <v>58783.669181884296</v>
      </c>
      <c r="I222" s="139">
        <v>1769.0200000000032</v>
      </c>
      <c r="K222" s="212">
        <f t="shared" si="11"/>
        <v>0.39049161858092618</v>
      </c>
      <c r="L222" s="142"/>
    </row>
    <row r="223" spans="1:12" s="139" customFormat="1" x14ac:dyDescent="0.25">
      <c r="A223" s="139" t="s">
        <v>18</v>
      </c>
      <c r="B223" s="110">
        <v>588</v>
      </c>
      <c r="C223" s="139" t="s">
        <v>12</v>
      </c>
      <c r="D223" s="139" t="s">
        <v>7</v>
      </c>
      <c r="E223" s="211">
        <v>182026.39655324596</v>
      </c>
      <c r="F223" s="211">
        <v>15507.396776303656</v>
      </c>
      <c r="G223" s="211">
        <f t="shared" si="12"/>
        <v>166518.99977694231</v>
      </c>
      <c r="H223" s="139">
        <v>9253.5708346701103</v>
      </c>
      <c r="I223" s="139">
        <v>809.60000000000286</v>
      </c>
      <c r="K223" s="212">
        <f t="shared" si="11"/>
        <v>8.5193120722836857E-2</v>
      </c>
      <c r="L223" s="142"/>
    </row>
    <row r="224" spans="1:12" s="139" customFormat="1" x14ac:dyDescent="0.25">
      <c r="A224" s="139" t="s">
        <v>18</v>
      </c>
      <c r="B224" s="110">
        <v>589</v>
      </c>
      <c r="C224" s="139" t="s">
        <v>12</v>
      </c>
      <c r="D224" s="139" t="s">
        <v>7</v>
      </c>
      <c r="E224" s="211">
        <v>466092.5811493154</v>
      </c>
      <c r="F224" s="211">
        <v>122277.88423674619</v>
      </c>
      <c r="G224" s="211">
        <f t="shared" si="12"/>
        <v>343814.69691256923</v>
      </c>
      <c r="H224" s="139">
        <v>44277.314723543139</v>
      </c>
      <c r="I224" s="139">
        <v>2231.4599999999987</v>
      </c>
      <c r="K224" s="212">
        <f t="shared" si="11"/>
        <v>0.26234677225547554</v>
      </c>
      <c r="L224" s="142"/>
    </row>
    <row r="225" spans="1:12" s="139" customFormat="1" x14ac:dyDescent="0.25">
      <c r="A225" s="139" t="s">
        <v>18</v>
      </c>
      <c r="B225" s="110">
        <v>597</v>
      </c>
      <c r="C225" s="139" t="s">
        <v>12</v>
      </c>
      <c r="D225" s="139" t="s">
        <v>7</v>
      </c>
      <c r="E225" s="211">
        <v>1074452.0290258287</v>
      </c>
      <c r="F225" s="211">
        <v>357446.30840442289</v>
      </c>
      <c r="G225" s="211">
        <f t="shared" si="12"/>
        <v>717005.72062140587</v>
      </c>
      <c r="H225" s="139">
        <v>131302.99411903165</v>
      </c>
      <c r="I225" s="139">
        <v>4408.9600000000137</v>
      </c>
      <c r="K225" s="212">
        <f t="shared" si="11"/>
        <v>0.3326777731794206</v>
      </c>
      <c r="L225" s="142"/>
    </row>
    <row r="226" spans="1:12" s="139" customFormat="1" x14ac:dyDescent="0.25">
      <c r="A226" s="139" t="s">
        <v>18</v>
      </c>
      <c r="B226" s="110">
        <v>612</v>
      </c>
      <c r="C226" s="139" t="s">
        <v>20</v>
      </c>
      <c r="D226" s="139" t="s">
        <v>7</v>
      </c>
      <c r="E226" s="211">
        <v>1262192.1476565928</v>
      </c>
      <c r="F226" s="211">
        <v>127212.69631488824</v>
      </c>
      <c r="G226" s="211">
        <f t="shared" si="12"/>
        <v>1134979.4513417045</v>
      </c>
      <c r="H226" s="139">
        <v>155729.89016046718</v>
      </c>
      <c r="I226" s="139">
        <v>6791.3100000000031</v>
      </c>
      <c r="K226" s="212">
        <f t="shared" si="11"/>
        <v>0.1007871080097222</v>
      </c>
      <c r="L226" s="142"/>
    </row>
    <row r="227" spans="1:12" s="139" customFormat="1" x14ac:dyDescent="0.25">
      <c r="A227" s="139" t="s">
        <v>18</v>
      </c>
      <c r="B227" s="110">
        <v>643</v>
      </c>
      <c r="C227" s="139" t="s">
        <v>12</v>
      </c>
      <c r="D227" s="139" t="s">
        <v>7</v>
      </c>
      <c r="E227" s="211">
        <v>287561.79988392652</v>
      </c>
      <c r="F227" s="211">
        <v>32462.120925514955</v>
      </c>
      <c r="G227" s="211">
        <f t="shared" si="12"/>
        <v>255099.67895841156</v>
      </c>
      <c r="H227" s="139">
        <v>28360.260081909597</v>
      </c>
      <c r="I227" s="139">
        <v>1277.649999999994</v>
      </c>
      <c r="K227" s="212">
        <f t="shared" si="11"/>
        <v>0.11288745910833148</v>
      </c>
      <c r="L227" s="142"/>
    </row>
    <row r="228" spans="1:12" s="139" customFormat="1" x14ac:dyDescent="0.25">
      <c r="A228" s="139" t="s">
        <v>18</v>
      </c>
      <c r="B228" s="110">
        <v>645</v>
      </c>
      <c r="C228" s="139" t="s">
        <v>12</v>
      </c>
      <c r="D228" s="139" t="s">
        <v>7</v>
      </c>
      <c r="E228" s="211">
        <v>3393509.4929165868</v>
      </c>
      <c r="F228" s="211">
        <v>515340.78204485832</v>
      </c>
      <c r="G228" s="211">
        <f t="shared" si="12"/>
        <v>2878168.7108717286</v>
      </c>
      <c r="H228" s="139">
        <v>373026.47052618151</v>
      </c>
      <c r="I228" s="139">
        <v>18005.15999999992</v>
      </c>
      <c r="K228" s="212">
        <f t="shared" si="11"/>
        <v>0.15186071620561267</v>
      </c>
      <c r="L228" s="142"/>
    </row>
    <row r="229" spans="1:12" s="139" customFormat="1" x14ac:dyDescent="0.25">
      <c r="A229" s="139" t="s">
        <v>18</v>
      </c>
      <c r="B229" s="110">
        <v>652</v>
      </c>
      <c r="C229" s="139" t="s">
        <v>12</v>
      </c>
      <c r="D229" s="139" t="s">
        <v>7</v>
      </c>
      <c r="E229" s="211">
        <v>208335.64584013892</v>
      </c>
      <c r="F229" s="211">
        <v>79892.166583884085</v>
      </c>
      <c r="G229" s="211">
        <f t="shared" si="12"/>
        <v>128443.47925625484</v>
      </c>
      <c r="H229" s="139">
        <v>35499.855200734208</v>
      </c>
      <c r="I229" s="139">
        <v>901.69999999999516</v>
      </c>
      <c r="K229" s="212">
        <f t="shared" si="11"/>
        <v>0.38347814298272948</v>
      </c>
      <c r="L229" s="142"/>
    </row>
    <row r="230" spans="1:12" s="139" customFormat="1" x14ac:dyDescent="0.25">
      <c r="A230" s="139" t="s">
        <v>18</v>
      </c>
      <c r="B230" s="110">
        <v>663</v>
      </c>
      <c r="C230" s="139" t="s">
        <v>12</v>
      </c>
      <c r="D230" s="139" t="s">
        <v>7</v>
      </c>
      <c r="E230" s="211">
        <v>574022.10966337775</v>
      </c>
      <c r="F230" s="211">
        <v>337801.19012902334</v>
      </c>
      <c r="G230" s="211">
        <f t="shared" si="12"/>
        <v>236220.91953435441</v>
      </c>
      <c r="H230" s="139">
        <v>124212.15113889433</v>
      </c>
      <c r="I230" s="139">
        <v>2311.8199999999852</v>
      </c>
      <c r="K230" s="212">
        <f t="shared" si="11"/>
        <v>0.58848114809918939</v>
      </c>
      <c r="L230" s="142"/>
    </row>
    <row r="231" spans="1:12" s="139" customFormat="1" x14ac:dyDescent="0.25">
      <c r="A231" s="139" t="s">
        <v>18</v>
      </c>
      <c r="B231" s="110">
        <v>664</v>
      </c>
      <c r="C231" s="139" t="s">
        <v>12</v>
      </c>
      <c r="D231" s="139" t="s">
        <v>7</v>
      </c>
      <c r="E231" s="211">
        <v>448875.78201321285</v>
      </c>
      <c r="F231" s="211">
        <v>126788.34038965523</v>
      </c>
      <c r="G231" s="211">
        <f t="shared" si="12"/>
        <v>322087.44162355759</v>
      </c>
      <c r="H231" s="139">
        <v>49723.032342870356</v>
      </c>
      <c r="I231" s="139">
        <v>1774.6</v>
      </c>
      <c r="K231" s="212">
        <f t="shared" si="11"/>
        <v>0.28245752047706413</v>
      </c>
      <c r="L231" s="142"/>
    </row>
    <row r="232" spans="1:12" s="139" customFormat="1" x14ac:dyDescent="0.25">
      <c r="A232" s="139" t="s">
        <v>18</v>
      </c>
      <c r="B232" s="110">
        <v>667</v>
      </c>
      <c r="C232" s="139" t="s">
        <v>12</v>
      </c>
      <c r="D232" s="139" t="s">
        <v>7</v>
      </c>
      <c r="E232" s="211">
        <v>771087.07773039432</v>
      </c>
      <c r="F232" s="211">
        <v>285129.02435864648</v>
      </c>
      <c r="G232" s="211">
        <f t="shared" si="12"/>
        <v>485958.05337174784</v>
      </c>
      <c r="H232" s="139">
        <v>104929.1243687433</v>
      </c>
      <c r="I232" s="139">
        <v>3117.9799999999873</v>
      </c>
      <c r="K232" s="212">
        <f t="shared" si="11"/>
        <v>0.36977538930867676</v>
      </c>
      <c r="L232" s="142"/>
    </row>
    <row r="233" spans="1:12" s="139" customFormat="1" x14ac:dyDescent="0.25">
      <c r="A233" s="139" t="s">
        <v>18</v>
      </c>
      <c r="B233" s="110">
        <v>668</v>
      </c>
      <c r="C233" s="139" t="s">
        <v>12</v>
      </c>
      <c r="D233" s="139" t="s">
        <v>7</v>
      </c>
      <c r="E233" s="211">
        <v>286691.33392121474</v>
      </c>
      <c r="F233" s="211">
        <v>90146.125789316444</v>
      </c>
      <c r="G233" s="211">
        <f t="shared" si="12"/>
        <v>196545.20813189831</v>
      </c>
      <c r="H233" s="139">
        <v>33534.210460043716</v>
      </c>
      <c r="I233" s="139">
        <v>1345.8799999999949</v>
      </c>
      <c r="K233" s="212">
        <f t="shared" si="11"/>
        <v>0.31443617271699387</v>
      </c>
      <c r="L233" s="142"/>
    </row>
    <row r="234" spans="1:12" s="139" customFormat="1" x14ac:dyDescent="0.25">
      <c r="A234" s="139" t="s">
        <v>18</v>
      </c>
      <c r="B234" s="110">
        <v>672</v>
      </c>
      <c r="C234" s="139" t="s">
        <v>12</v>
      </c>
      <c r="D234" s="139" t="s">
        <v>7</v>
      </c>
      <c r="E234" s="211">
        <v>689695.0723575817</v>
      </c>
      <c r="F234" s="211">
        <v>142344.38272621203</v>
      </c>
      <c r="G234" s="211">
        <f t="shared" si="12"/>
        <v>547350.68963136966</v>
      </c>
      <c r="H234" s="139">
        <v>59257.705934652397</v>
      </c>
      <c r="I234" s="139">
        <v>3124.5499999999861</v>
      </c>
      <c r="K234" s="212">
        <f t="shared" si="11"/>
        <v>0.20638741442596775</v>
      </c>
      <c r="L234" s="142"/>
    </row>
    <row r="235" spans="1:12" s="139" customFormat="1" x14ac:dyDescent="0.25">
      <c r="A235" s="139" t="s">
        <v>18</v>
      </c>
      <c r="B235" s="110">
        <v>673</v>
      </c>
      <c r="C235" s="139" t="s">
        <v>12</v>
      </c>
      <c r="D235" s="139" t="s">
        <v>7</v>
      </c>
      <c r="E235" s="211">
        <v>773230.92676020111</v>
      </c>
      <c r="F235" s="211">
        <v>458210.08384232392</v>
      </c>
      <c r="G235" s="211">
        <f t="shared" si="12"/>
        <v>315020.84291787719</v>
      </c>
      <c r="H235" s="139">
        <v>160492.04055862551</v>
      </c>
      <c r="I235" s="139">
        <v>2879.5400000000091</v>
      </c>
      <c r="K235" s="212">
        <f t="shared" si="11"/>
        <v>0.59259151177799008</v>
      </c>
      <c r="L235" s="142"/>
    </row>
    <row r="236" spans="1:12" s="139" customFormat="1" x14ac:dyDescent="0.25">
      <c r="A236" s="139" t="s">
        <v>18</v>
      </c>
      <c r="B236" s="110">
        <v>674</v>
      </c>
      <c r="C236" s="139" t="s">
        <v>12</v>
      </c>
      <c r="D236" s="139" t="s">
        <v>7</v>
      </c>
      <c r="E236" s="211">
        <v>304009.8936911872</v>
      </c>
      <c r="F236" s="211">
        <v>73978.813840536939</v>
      </c>
      <c r="G236" s="211">
        <f t="shared" si="12"/>
        <v>230031.07985065028</v>
      </c>
      <c r="H236" s="139">
        <v>26870.726653080288</v>
      </c>
      <c r="I236" s="139">
        <v>1370.6900000000028</v>
      </c>
      <c r="K236" s="212">
        <f t="shared" si="11"/>
        <v>0.24334344169629069</v>
      </c>
      <c r="L236" s="142"/>
    </row>
    <row r="237" spans="1:12" s="139" customFormat="1" x14ac:dyDescent="0.25">
      <c r="A237" s="139" t="s">
        <v>18</v>
      </c>
      <c r="B237" s="110">
        <v>677</v>
      </c>
      <c r="C237" s="139" t="s">
        <v>12</v>
      </c>
      <c r="D237" s="139" t="s">
        <v>7</v>
      </c>
      <c r="E237" s="211">
        <v>406711.12585417664</v>
      </c>
      <c r="F237" s="211">
        <v>112180.45719511287</v>
      </c>
      <c r="G237" s="211">
        <f t="shared" si="12"/>
        <v>294530.66865906375</v>
      </c>
      <c r="H237" s="139">
        <v>42850.018067506142</v>
      </c>
      <c r="I237" s="139">
        <v>1673.2600000000048</v>
      </c>
      <c r="K237" s="212">
        <f t="shared" si="11"/>
        <v>0.27582342863011416</v>
      </c>
      <c r="L237" s="142"/>
    </row>
    <row r="238" spans="1:12" s="139" customFormat="1" x14ac:dyDescent="0.25">
      <c r="A238" s="139" t="s">
        <v>18</v>
      </c>
      <c r="B238" s="110">
        <v>679</v>
      </c>
      <c r="C238" s="139" t="s">
        <v>12</v>
      </c>
      <c r="D238" s="139" t="s">
        <v>7</v>
      </c>
      <c r="E238" s="211">
        <v>109207.03701226129</v>
      </c>
      <c r="F238" s="211">
        <v>5893.2935231545016</v>
      </c>
      <c r="G238" s="211">
        <f t="shared" si="12"/>
        <v>103313.7434891068</v>
      </c>
      <c r="H238" s="139">
        <v>2649.2119618593729</v>
      </c>
      <c r="I238" s="139">
        <v>465.51999999999759</v>
      </c>
      <c r="K238" s="212">
        <f t="shared" si="11"/>
        <v>5.3964411858302024E-2</v>
      </c>
      <c r="L238" s="142"/>
    </row>
    <row r="239" spans="1:12" s="139" customFormat="1" x14ac:dyDescent="0.25">
      <c r="A239" s="139" t="s">
        <v>18</v>
      </c>
      <c r="B239" s="110">
        <v>721</v>
      </c>
      <c r="C239" s="139" t="s">
        <v>20</v>
      </c>
      <c r="D239" s="139" t="s">
        <v>7</v>
      </c>
      <c r="E239" s="211">
        <v>1306906.3202372193</v>
      </c>
      <c r="F239" s="211">
        <v>246663.04028816606</v>
      </c>
      <c r="G239" s="211">
        <f t="shared" si="12"/>
        <v>1060243.2799490532</v>
      </c>
      <c r="H239" s="139">
        <v>235077.62635247756</v>
      </c>
      <c r="I239" s="139">
        <v>7104.1400000000185</v>
      </c>
      <c r="K239" s="212">
        <f t="shared" si="11"/>
        <v>0.18873811876844679</v>
      </c>
      <c r="L239" s="142"/>
    </row>
    <row r="240" spans="1:12" s="139" customFormat="1" x14ac:dyDescent="0.25">
      <c r="A240" s="139" t="s">
        <v>18</v>
      </c>
      <c r="B240" s="110">
        <v>722</v>
      </c>
      <c r="C240" s="139" t="s">
        <v>20</v>
      </c>
      <c r="D240" s="139" t="s">
        <v>7</v>
      </c>
      <c r="E240" s="211">
        <v>1284733.5032028321</v>
      </c>
      <c r="F240" s="211">
        <v>170984.02216413134</v>
      </c>
      <c r="G240" s="211">
        <f t="shared" si="12"/>
        <v>1113749.4810387008</v>
      </c>
      <c r="H240" s="139">
        <v>203074.44050312473</v>
      </c>
      <c r="I240" s="139">
        <v>6675.0599999999704</v>
      </c>
      <c r="K240" s="212">
        <f t="shared" si="11"/>
        <v>0.1330890972624823</v>
      </c>
      <c r="L240" s="142"/>
    </row>
    <row r="241" spans="1:13" s="139" customFormat="1" x14ac:dyDescent="0.25">
      <c r="A241" s="139" t="s">
        <v>18</v>
      </c>
      <c r="B241" s="110">
        <v>723</v>
      </c>
      <c r="C241" s="139" t="s">
        <v>20</v>
      </c>
      <c r="D241" s="139" t="s">
        <v>7</v>
      </c>
      <c r="E241" s="211">
        <v>1077782.6270695706</v>
      </c>
      <c r="F241" s="211">
        <v>141727.708051739</v>
      </c>
      <c r="G241" s="211">
        <f t="shared" si="12"/>
        <v>936054.91901783156</v>
      </c>
      <c r="H241" s="139">
        <v>163730.42730291878</v>
      </c>
      <c r="I241" s="139">
        <v>5508.059999999974</v>
      </c>
      <c r="K241" s="212">
        <f t="shared" si="11"/>
        <v>0.13149934364509897</v>
      </c>
      <c r="L241" s="142"/>
    </row>
    <row r="242" spans="1:13" s="139" customFormat="1" x14ac:dyDescent="0.25">
      <c r="A242" s="139" t="s">
        <v>18</v>
      </c>
      <c r="B242" s="110">
        <v>724</v>
      </c>
      <c r="C242" s="139" t="s">
        <v>20</v>
      </c>
      <c r="D242" s="139" t="s">
        <v>7</v>
      </c>
      <c r="E242" s="211">
        <v>2609322.7962907818</v>
      </c>
      <c r="F242" s="211">
        <v>459916.27857387526</v>
      </c>
      <c r="G242" s="211">
        <f t="shared" si="12"/>
        <v>2149406.5177169065</v>
      </c>
      <c r="H242" s="139">
        <v>511737.71516659122</v>
      </c>
      <c r="I242" s="139">
        <v>12672.339999999944</v>
      </c>
      <c r="K242" s="212">
        <f t="shared" si="11"/>
        <v>0.17625886656402107</v>
      </c>
      <c r="L242" s="142"/>
    </row>
    <row r="243" spans="1:13" x14ac:dyDescent="0.25">
      <c r="A243" s="139" t="s">
        <v>18</v>
      </c>
      <c r="B243" s="110">
        <v>755</v>
      </c>
      <c r="C243" s="139" t="s">
        <v>12</v>
      </c>
      <c r="D243" s="139" t="s">
        <v>7</v>
      </c>
      <c r="E243" s="211">
        <v>1095556.3594045658</v>
      </c>
      <c r="F243" s="211">
        <v>158592.77060874683</v>
      </c>
      <c r="G243" s="211">
        <f t="shared" si="12"/>
        <v>936963.58879581897</v>
      </c>
      <c r="H243" s="139">
        <v>108535.74535205774</v>
      </c>
      <c r="I243" s="139">
        <v>5569.7099999999909</v>
      </c>
      <c r="J243" s="139"/>
      <c r="K243" s="212">
        <f t="shared" si="11"/>
        <v>0.14476002922838394</v>
      </c>
      <c r="L243" s="142"/>
      <c r="M243" s="139"/>
    </row>
    <row r="244" spans="1:13" x14ac:dyDescent="0.25">
      <c r="A244" s="139" t="s">
        <v>18</v>
      </c>
      <c r="B244" s="110">
        <v>756</v>
      </c>
      <c r="C244" s="139" t="s">
        <v>12</v>
      </c>
      <c r="D244" s="139" t="s">
        <v>7</v>
      </c>
      <c r="E244" s="211">
        <v>309917.51103053964</v>
      </c>
      <c r="F244" s="211">
        <v>145361.94897785754</v>
      </c>
      <c r="G244" s="211">
        <f t="shared" si="12"/>
        <v>164555.5620526821</v>
      </c>
      <c r="H244" s="139">
        <v>50753.050932583101</v>
      </c>
      <c r="I244" s="139">
        <v>1369.9000000000028</v>
      </c>
      <c r="J244" s="139"/>
      <c r="K244" s="212">
        <f t="shared" si="11"/>
        <v>0.46903431979206039</v>
      </c>
      <c r="L244" s="142"/>
      <c r="M244" s="139"/>
    </row>
    <row r="245" spans="1:13" x14ac:dyDescent="0.25">
      <c r="A245" s="139" t="s">
        <v>18</v>
      </c>
      <c r="B245" s="110">
        <v>758</v>
      </c>
      <c r="C245" s="139" t="s">
        <v>12</v>
      </c>
      <c r="D245" s="139" t="s">
        <v>7</v>
      </c>
      <c r="E245" s="211">
        <v>597163.02786324418</v>
      </c>
      <c r="F245" s="211">
        <v>290877.8934476999</v>
      </c>
      <c r="G245" s="211">
        <f t="shared" si="12"/>
        <v>306285.13441554428</v>
      </c>
      <c r="H245" s="139">
        <v>108774.31964776159</v>
      </c>
      <c r="I245" s="139">
        <v>2360.4899999999916</v>
      </c>
      <c r="J245" s="139"/>
      <c r="K245" s="212">
        <f t="shared" si="11"/>
        <v>0.48709963590430722</v>
      </c>
      <c r="L245" s="142"/>
      <c r="M245" s="139"/>
    </row>
    <row r="246" spans="1:13" x14ac:dyDescent="0.25">
      <c r="A246" s="139" t="s">
        <v>18</v>
      </c>
      <c r="B246" s="110">
        <v>760</v>
      </c>
      <c r="C246" s="139" t="s">
        <v>12</v>
      </c>
      <c r="D246" s="139" t="s">
        <v>7</v>
      </c>
      <c r="E246" s="211">
        <v>724142.42206679645</v>
      </c>
      <c r="F246" s="211">
        <v>298175.89825728274</v>
      </c>
      <c r="G246" s="211">
        <f t="shared" si="12"/>
        <v>425966.52380951372</v>
      </c>
      <c r="H246" s="139">
        <v>124622.91383932359</v>
      </c>
      <c r="I246" s="139">
        <v>3274.52000000001</v>
      </c>
      <c r="J246" s="139"/>
      <c r="K246" s="212">
        <f t="shared" si="11"/>
        <v>0.41176416292012008</v>
      </c>
      <c r="L246" s="142"/>
      <c r="M246" s="139"/>
    </row>
    <row r="247" spans="1:13" x14ac:dyDescent="0.25">
      <c r="A247" s="139" t="s">
        <v>18</v>
      </c>
      <c r="B247" s="110">
        <v>761</v>
      </c>
      <c r="C247" s="139" t="s">
        <v>12</v>
      </c>
      <c r="D247" s="139" t="s">
        <v>7</v>
      </c>
      <c r="E247" s="211">
        <v>460022.69685324776</v>
      </c>
      <c r="F247" s="211">
        <v>141092.65226304281</v>
      </c>
      <c r="G247" s="211">
        <f t="shared" si="12"/>
        <v>318930.04459020495</v>
      </c>
      <c r="H247" s="139">
        <v>63696.225114290719</v>
      </c>
      <c r="I247" s="139">
        <v>1977.4599999999989</v>
      </c>
      <c r="J247" s="139"/>
      <c r="K247" s="212">
        <f t="shared" si="11"/>
        <v>0.30670802381747025</v>
      </c>
      <c r="L247" s="142"/>
      <c r="M247" s="139"/>
    </row>
    <row r="248" spans="1:13" x14ac:dyDescent="0.25">
      <c r="A248" s="139" t="s">
        <v>18</v>
      </c>
      <c r="B248" s="110">
        <v>762</v>
      </c>
      <c r="C248" s="139" t="s">
        <v>12</v>
      </c>
      <c r="D248" s="139" t="s">
        <v>7</v>
      </c>
      <c r="E248" s="211">
        <v>150516.35378929728</v>
      </c>
      <c r="F248" s="211">
        <v>34398.850342830898</v>
      </c>
      <c r="G248" s="211">
        <f t="shared" si="12"/>
        <v>116117.50344646638</v>
      </c>
      <c r="H248" s="139">
        <v>23145.855801460468</v>
      </c>
      <c r="I248" s="139">
        <v>568.62</v>
      </c>
      <c r="J248" s="139"/>
      <c r="K248" s="212">
        <f t="shared" si="11"/>
        <v>0.22853895591295467</v>
      </c>
      <c r="L248" s="142"/>
      <c r="M248" s="139"/>
    </row>
    <row r="249" spans="1:13" x14ac:dyDescent="0.25">
      <c r="A249" s="139" t="s">
        <v>18</v>
      </c>
      <c r="B249" s="110">
        <v>763</v>
      </c>
      <c r="C249" s="139" t="s">
        <v>12</v>
      </c>
      <c r="D249" s="139" t="s">
        <v>7</v>
      </c>
      <c r="E249" s="211">
        <v>424288.21263993118</v>
      </c>
      <c r="F249" s="211">
        <v>117665.6392490756</v>
      </c>
      <c r="G249" s="211">
        <f t="shared" si="12"/>
        <v>306622.57339085557</v>
      </c>
      <c r="H249" s="139">
        <v>48676.417280412992</v>
      </c>
      <c r="I249" s="139">
        <v>1972.8100000000068</v>
      </c>
      <c r="J249" s="139"/>
      <c r="K249" s="212">
        <f t="shared" si="11"/>
        <v>0.27732478947967287</v>
      </c>
      <c r="L249" s="142"/>
      <c r="M249" s="139"/>
    </row>
    <row r="250" spans="1:13" x14ac:dyDescent="0.25">
      <c r="A250" s="139" t="s">
        <v>18</v>
      </c>
      <c r="B250" s="110">
        <v>764</v>
      </c>
      <c r="C250" s="139" t="s">
        <v>12</v>
      </c>
      <c r="D250" s="139" t="s">
        <v>7</v>
      </c>
      <c r="E250" s="211">
        <v>311061.63058974507</v>
      </c>
      <c r="F250" s="211">
        <v>130385.50688156554</v>
      </c>
      <c r="G250" s="211">
        <f t="shared" si="12"/>
        <v>180676.12370817951</v>
      </c>
      <c r="H250" s="139">
        <v>51911.692186066626</v>
      </c>
      <c r="I250" s="139">
        <v>1419.9999999999966</v>
      </c>
      <c r="J250" s="139"/>
      <c r="K250" s="212">
        <f t="shared" si="11"/>
        <v>0.4191629376929783</v>
      </c>
      <c r="L250" s="142"/>
      <c r="M250" s="139"/>
    </row>
    <row r="251" spans="1:13" x14ac:dyDescent="0.25">
      <c r="A251" s="139" t="s">
        <v>18</v>
      </c>
      <c r="B251" s="110">
        <v>765</v>
      </c>
      <c r="C251" s="139" t="s">
        <v>12</v>
      </c>
      <c r="D251" s="139" t="s">
        <v>7</v>
      </c>
      <c r="E251" s="211">
        <v>316907.3664625528</v>
      </c>
      <c r="F251" s="211">
        <v>62503.427643685529</v>
      </c>
      <c r="G251" s="211">
        <f t="shared" si="12"/>
        <v>254403.93881886726</v>
      </c>
      <c r="H251" s="139">
        <v>33453.30265541371</v>
      </c>
      <c r="I251" s="139">
        <v>1193.3999999999976</v>
      </c>
      <c r="J251" s="139"/>
      <c r="K251" s="212">
        <f t="shared" si="11"/>
        <v>0.19722933026572992</v>
      </c>
      <c r="L251" s="142"/>
      <c r="M251" s="139"/>
    </row>
    <row r="252" spans="1:13" x14ac:dyDescent="0.25">
      <c r="A252" s="139" t="s">
        <v>18</v>
      </c>
      <c r="B252" s="110">
        <v>766</v>
      </c>
      <c r="C252" s="139" t="s">
        <v>12</v>
      </c>
      <c r="D252" s="139" t="s">
        <v>7</v>
      </c>
      <c r="E252" s="211">
        <v>1516177.0637940096</v>
      </c>
      <c r="F252" s="211">
        <v>321880.43292415835</v>
      </c>
      <c r="G252" s="211">
        <f t="shared" si="12"/>
        <v>1194296.6308698512</v>
      </c>
      <c r="H252" s="139">
        <v>135159.59947306185</v>
      </c>
      <c r="I252" s="139">
        <v>6571.1299999999665</v>
      </c>
      <c r="J252" s="139"/>
      <c r="K252" s="212">
        <f t="shared" si="11"/>
        <v>0.2122973896720875</v>
      </c>
      <c r="L252" s="142"/>
      <c r="M252" s="139"/>
    </row>
    <row r="253" spans="1:13" x14ac:dyDescent="0.25">
      <c r="A253" s="139" t="s">
        <v>18</v>
      </c>
      <c r="B253" s="110">
        <v>767</v>
      </c>
      <c r="C253" s="139" t="s">
        <v>12</v>
      </c>
      <c r="D253" s="139" t="s">
        <v>7</v>
      </c>
      <c r="E253" s="211">
        <v>418159.19716472214</v>
      </c>
      <c r="F253" s="211">
        <v>97402.334052544553</v>
      </c>
      <c r="G253" s="211">
        <f t="shared" si="12"/>
        <v>320756.86311217758</v>
      </c>
      <c r="H253" s="139">
        <v>40488.132540037936</v>
      </c>
      <c r="I253" s="139">
        <v>1607.8699999999919</v>
      </c>
      <c r="J253" s="139"/>
      <c r="K253" s="212">
        <f t="shared" si="11"/>
        <v>0.23293122502857597</v>
      </c>
      <c r="L253" s="142"/>
      <c r="M253" s="139"/>
    </row>
    <row r="254" spans="1:13" x14ac:dyDescent="0.25">
      <c r="A254" s="139" t="s">
        <v>18</v>
      </c>
      <c r="B254" s="110">
        <v>768</v>
      </c>
      <c r="C254" s="139" t="s">
        <v>12</v>
      </c>
      <c r="D254" s="139" t="s">
        <v>7</v>
      </c>
      <c r="E254" s="211">
        <v>1520660.032259173</v>
      </c>
      <c r="F254" s="211">
        <v>912410.42127858079</v>
      </c>
      <c r="G254" s="211">
        <f t="shared" si="12"/>
        <v>608249.6109805922</v>
      </c>
      <c r="H254" s="139">
        <v>339431.06057289202</v>
      </c>
      <c r="I254" s="139">
        <v>5466.1400000000031</v>
      </c>
      <c r="J254" s="139"/>
      <c r="K254" s="212">
        <f t="shared" si="11"/>
        <v>0.60000947083685474</v>
      </c>
      <c r="L254" s="142"/>
      <c r="M254" s="139"/>
    </row>
    <row r="255" spans="1:13" x14ac:dyDescent="0.25">
      <c r="A255" s="139" t="s">
        <v>18</v>
      </c>
      <c r="B255" s="110">
        <v>824</v>
      </c>
      <c r="C255" s="139" t="s">
        <v>24</v>
      </c>
      <c r="D255" s="139" t="s">
        <v>7</v>
      </c>
      <c r="E255" s="211">
        <v>281618.42880834889</v>
      </c>
      <c r="F255" s="211">
        <v>80265.95493214317</v>
      </c>
      <c r="G255" s="211">
        <f t="shared" si="12"/>
        <v>201352.47387620574</v>
      </c>
      <c r="H255" s="139">
        <v>40912.379874572194</v>
      </c>
      <c r="I255" s="139">
        <v>1164.9000000000019</v>
      </c>
      <c r="J255" s="139"/>
      <c r="K255" s="212">
        <f t="shared" si="11"/>
        <v>0.28501669891343273</v>
      </c>
      <c r="L255" s="142"/>
      <c r="M255" s="139"/>
    </row>
    <row r="256" spans="1:13" x14ac:dyDescent="0.25">
      <c r="A256" s="139" t="s">
        <v>18</v>
      </c>
      <c r="B256" s="110">
        <v>825</v>
      </c>
      <c r="C256" s="139" t="s">
        <v>24</v>
      </c>
      <c r="D256" s="139" t="s">
        <v>7</v>
      </c>
      <c r="E256" s="211">
        <v>965458.13928721461</v>
      </c>
      <c r="F256" s="211">
        <v>273539.40012228349</v>
      </c>
      <c r="G256" s="211">
        <f t="shared" si="12"/>
        <v>691918.73916493112</v>
      </c>
      <c r="H256" s="139">
        <v>138891.73128150744</v>
      </c>
      <c r="I256" s="139">
        <v>4634.1200000000035</v>
      </c>
      <c r="J256" s="139"/>
      <c r="K256" s="212">
        <f t="shared" si="11"/>
        <v>0.2833260076135814</v>
      </c>
      <c r="L256" s="142"/>
      <c r="M256" s="139"/>
    </row>
    <row r="257" spans="1:13" x14ac:dyDescent="0.25">
      <c r="A257" s="139" t="s">
        <v>18</v>
      </c>
      <c r="B257" s="110">
        <v>850</v>
      </c>
      <c r="C257" s="139" t="s">
        <v>12</v>
      </c>
      <c r="D257" s="139" t="s">
        <v>7</v>
      </c>
      <c r="E257" s="211">
        <v>2474652.2233677288</v>
      </c>
      <c r="F257" s="211">
        <v>1281070.5264772258</v>
      </c>
      <c r="G257" s="211">
        <f t="shared" si="12"/>
        <v>1193581.6968905029</v>
      </c>
      <c r="H257" s="139">
        <v>463539.48375713249</v>
      </c>
      <c r="I257" s="139">
        <v>9403.360000000017</v>
      </c>
      <c r="J257" s="139"/>
      <c r="K257" s="212">
        <f t="shared" si="11"/>
        <v>0.51767699492489905</v>
      </c>
      <c r="L257" s="142"/>
      <c r="M257" s="139"/>
    </row>
    <row r="258" spans="1:13" x14ac:dyDescent="0.25">
      <c r="A258" s="139" t="s">
        <v>18</v>
      </c>
      <c r="B258" s="110">
        <v>852</v>
      </c>
      <c r="C258" s="139" t="s">
        <v>12</v>
      </c>
      <c r="D258" s="139" t="s">
        <v>7</v>
      </c>
      <c r="E258" s="211">
        <v>2059167.6807013811</v>
      </c>
      <c r="F258" s="211">
        <v>345957.08758975373</v>
      </c>
      <c r="G258" s="211">
        <f t="shared" si="12"/>
        <v>1713210.5931116273</v>
      </c>
      <c r="H258" s="139">
        <v>224124.99162057735</v>
      </c>
      <c r="I258" s="139">
        <v>10857.350000000022</v>
      </c>
      <c r="J258" s="139"/>
      <c r="K258" s="212">
        <f t="shared" ref="K258:K321" si="13">F258/E258</f>
        <v>0.16800821556791137</v>
      </c>
      <c r="L258" s="142"/>
    </row>
    <row r="259" spans="1:13" x14ac:dyDescent="0.25">
      <c r="A259" s="139" t="s">
        <v>18</v>
      </c>
      <c r="B259" s="110">
        <v>854</v>
      </c>
      <c r="C259" s="139" t="s">
        <v>12</v>
      </c>
      <c r="D259" s="139" t="s">
        <v>7</v>
      </c>
      <c r="E259" s="211">
        <v>951096.13847432157</v>
      </c>
      <c r="F259" s="211">
        <v>305386.31959426374</v>
      </c>
      <c r="G259" s="211">
        <f t="shared" si="12"/>
        <v>645709.81888005789</v>
      </c>
      <c r="H259" s="139">
        <v>126064.73240901213</v>
      </c>
      <c r="I259" s="139">
        <v>3812.180000000013</v>
      </c>
      <c r="J259" s="139"/>
      <c r="K259" s="212">
        <f t="shared" si="13"/>
        <v>0.32108880189981848</v>
      </c>
      <c r="L259" s="142"/>
    </row>
    <row r="260" spans="1:13" x14ac:dyDescent="0.25">
      <c r="A260" s="139" t="s">
        <v>18</v>
      </c>
      <c r="B260" s="110">
        <v>860</v>
      </c>
      <c r="C260" s="139" t="s">
        <v>12</v>
      </c>
      <c r="D260" s="139" t="s">
        <v>7</v>
      </c>
      <c r="E260" s="211">
        <v>946860.69587534992</v>
      </c>
      <c r="F260" s="211">
        <v>268782.223366149</v>
      </c>
      <c r="G260" s="211">
        <f t="shared" si="12"/>
        <v>678078.47250920092</v>
      </c>
      <c r="H260" s="139">
        <v>125251.50524452592</v>
      </c>
      <c r="I260" s="139">
        <v>3693.7999999999847</v>
      </c>
      <c r="J260" s="139"/>
      <c r="K260" s="212">
        <f t="shared" si="13"/>
        <v>0.2838667023956109</v>
      </c>
      <c r="L260" s="142"/>
    </row>
    <row r="261" spans="1:13" x14ac:dyDescent="0.25">
      <c r="A261" s="139" t="s">
        <v>18</v>
      </c>
      <c r="B261" s="110">
        <v>865</v>
      </c>
      <c r="C261" s="139" t="s">
        <v>12</v>
      </c>
      <c r="D261" s="139" t="s">
        <v>7</v>
      </c>
      <c r="E261" s="211">
        <v>896787.58829204843</v>
      </c>
      <c r="F261" s="211">
        <v>311742.63377495832</v>
      </c>
      <c r="G261" s="211">
        <f t="shared" si="12"/>
        <v>585044.95451709011</v>
      </c>
      <c r="H261" s="139">
        <v>129000.23352571613</v>
      </c>
      <c r="I261" s="139">
        <v>3229.419999999991</v>
      </c>
      <c r="J261" s="139"/>
      <c r="K261" s="212">
        <f t="shared" si="13"/>
        <v>0.34762148567274331</v>
      </c>
      <c r="L261" s="142"/>
    </row>
    <row r="262" spans="1:13" x14ac:dyDescent="0.25">
      <c r="A262" s="139" t="s">
        <v>18</v>
      </c>
      <c r="B262" s="110">
        <v>921</v>
      </c>
      <c r="C262" s="139" t="s">
        <v>144</v>
      </c>
      <c r="D262" s="139" t="s">
        <v>7</v>
      </c>
      <c r="E262" s="211">
        <v>5888698.1123145726</v>
      </c>
      <c r="F262" s="211">
        <v>1406324.1759258409</v>
      </c>
      <c r="G262" s="211">
        <f t="shared" si="12"/>
        <v>4482373.9363887319</v>
      </c>
      <c r="H262" s="139">
        <v>1232476</v>
      </c>
      <c r="I262" s="139">
        <v>27165.830000000129</v>
      </c>
      <c r="J262" s="139"/>
      <c r="K262" s="212">
        <f t="shared" si="13"/>
        <v>0.23881750246033251</v>
      </c>
      <c r="L262" s="142"/>
    </row>
    <row r="263" spans="1:13" x14ac:dyDescent="0.25">
      <c r="A263" s="139" t="s">
        <v>18</v>
      </c>
      <c r="B263" s="110">
        <v>2</v>
      </c>
      <c r="C263" s="139" t="s">
        <v>24</v>
      </c>
      <c r="D263" s="139" t="s">
        <v>8</v>
      </c>
      <c r="E263" s="211">
        <v>899508.99767626182</v>
      </c>
      <c r="F263" s="211">
        <v>116567.63109785</v>
      </c>
      <c r="G263" s="211">
        <f t="shared" si="12"/>
        <v>782941.36657841178</v>
      </c>
      <c r="H263" s="139">
        <v>160818.78361578516</v>
      </c>
      <c r="I263" s="139">
        <v>5012.3199999999961</v>
      </c>
      <c r="J263" s="139"/>
      <c r="K263" s="212">
        <f t="shared" si="13"/>
        <v>0.12959028914550483</v>
      </c>
      <c r="L263" s="142"/>
    </row>
    <row r="264" spans="1:13" x14ac:dyDescent="0.25">
      <c r="A264" s="139" t="s">
        <v>18</v>
      </c>
      <c r="B264" s="110">
        <v>3</v>
      </c>
      <c r="C264" s="139" t="s">
        <v>24</v>
      </c>
      <c r="D264" s="139" t="s">
        <v>8</v>
      </c>
      <c r="E264" s="211">
        <v>981675.20895271678</v>
      </c>
      <c r="F264" s="211">
        <v>100224.47901019265</v>
      </c>
      <c r="G264" s="211">
        <f t="shared" si="12"/>
        <v>881450.72994252411</v>
      </c>
      <c r="H264" s="139">
        <v>123263.04035381159</v>
      </c>
      <c r="I264" s="139">
        <v>5338.3199999999961</v>
      </c>
      <c r="J264" s="139"/>
      <c r="K264" s="212">
        <f t="shared" si="13"/>
        <v>0.10209535505853856</v>
      </c>
      <c r="L264" s="142"/>
    </row>
    <row r="265" spans="1:13" x14ac:dyDescent="0.25">
      <c r="A265" s="139" t="s">
        <v>18</v>
      </c>
      <c r="B265" s="110">
        <v>4</v>
      </c>
      <c r="C265" s="139" t="s">
        <v>24</v>
      </c>
      <c r="D265" s="139" t="s">
        <v>8</v>
      </c>
      <c r="E265" s="211">
        <v>1246919.8017136559</v>
      </c>
      <c r="F265" s="211">
        <v>147067.72418291651</v>
      </c>
      <c r="G265" s="211">
        <f t="shared" si="12"/>
        <v>1099852.0775307394</v>
      </c>
      <c r="H265" s="139">
        <v>156183.1813223045</v>
      </c>
      <c r="I265" s="139">
        <v>6860.06</v>
      </c>
      <c r="J265" s="139"/>
      <c r="K265" s="212">
        <f t="shared" si="13"/>
        <v>0.11794481407769744</v>
      </c>
      <c r="L265" s="142"/>
    </row>
    <row r="266" spans="1:13" x14ac:dyDescent="0.25">
      <c r="A266" s="139" t="s">
        <v>18</v>
      </c>
      <c r="B266" s="110">
        <v>5</v>
      </c>
      <c r="C266" s="139" t="s">
        <v>24</v>
      </c>
      <c r="D266" s="139" t="s">
        <v>8</v>
      </c>
      <c r="E266" s="211">
        <v>2020622.4027632892</v>
      </c>
      <c r="F266" s="211">
        <v>382708.05711591325</v>
      </c>
      <c r="G266" s="211">
        <f t="shared" si="12"/>
        <v>1637914.345647376</v>
      </c>
      <c r="H266" s="139">
        <v>478408.88605676213</v>
      </c>
      <c r="I266" s="139">
        <v>11219.44</v>
      </c>
      <c r="J266" s="139"/>
      <c r="K266" s="212">
        <f t="shared" si="13"/>
        <v>0.18940107592222244</v>
      </c>
      <c r="L266" s="142"/>
    </row>
    <row r="267" spans="1:13" x14ac:dyDescent="0.25">
      <c r="A267" s="139" t="s">
        <v>18</v>
      </c>
      <c r="B267" s="110">
        <v>6</v>
      </c>
      <c r="C267" s="139" t="s">
        <v>24</v>
      </c>
      <c r="D267" s="139" t="s">
        <v>8</v>
      </c>
      <c r="E267" s="211">
        <v>1360931.5908170936</v>
      </c>
      <c r="F267" s="211">
        <v>185778.56537848199</v>
      </c>
      <c r="G267" s="211">
        <f t="shared" si="12"/>
        <v>1175153.0254386116</v>
      </c>
      <c r="H267" s="139">
        <v>220674.99984879026</v>
      </c>
      <c r="I267" s="139">
        <v>7383.4799999999923</v>
      </c>
      <c r="J267" s="139"/>
      <c r="K267" s="212">
        <f t="shared" si="13"/>
        <v>0.1365083789898226</v>
      </c>
      <c r="L267" s="142"/>
    </row>
    <row r="268" spans="1:13" x14ac:dyDescent="0.25">
      <c r="A268" s="139" t="s">
        <v>18</v>
      </c>
      <c r="B268" s="110">
        <v>7</v>
      </c>
      <c r="C268" s="139" t="s">
        <v>24</v>
      </c>
      <c r="D268" s="139" t="s">
        <v>8</v>
      </c>
      <c r="E268" s="211">
        <v>639957.49983732391</v>
      </c>
      <c r="F268" s="211">
        <v>42424.304333728789</v>
      </c>
      <c r="G268" s="211">
        <f t="shared" si="12"/>
        <v>597533.19550359517</v>
      </c>
      <c r="H268" s="139">
        <v>53115.973739597837</v>
      </c>
      <c r="I268" s="139">
        <v>3727.3599999999974</v>
      </c>
      <c r="J268" s="139"/>
      <c r="K268" s="212">
        <f t="shared" si="13"/>
        <v>6.6292377766512575E-2</v>
      </c>
      <c r="L268" s="142"/>
    </row>
    <row r="269" spans="1:13" x14ac:dyDescent="0.25">
      <c r="A269" s="139" t="s">
        <v>18</v>
      </c>
      <c r="B269" s="110">
        <v>9</v>
      </c>
      <c r="C269" s="139" t="s">
        <v>24</v>
      </c>
      <c r="D269" s="139" t="s">
        <v>8</v>
      </c>
      <c r="E269" s="211">
        <v>697816.67105549306</v>
      </c>
      <c r="F269" s="211">
        <v>68139.512401305634</v>
      </c>
      <c r="G269" s="211">
        <f t="shared" si="12"/>
        <v>629677.15865418746</v>
      </c>
      <c r="H269" s="139">
        <v>81346.573878190131</v>
      </c>
      <c r="I269" s="139">
        <v>3913.7799999999961</v>
      </c>
      <c r="J269" s="139"/>
      <c r="K269" s="212">
        <f t="shared" si="13"/>
        <v>9.7646724745397942E-2</v>
      </c>
      <c r="L269" s="142"/>
    </row>
    <row r="270" spans="1:13" x14ac:dyDescent="0.25">
      <c r="A270" s="139" t="s">
        <v>18</v>
      </c>
      <c r="B270" s="110">
        <v>10</v>
      </c>
      <c r="C270" s="139" t="s">
        <v>24</v>
      </c>
      <c r="D270" s="139" t="s">
        <v>8</v>
      </c>
      <c r="E270" s="211">
        <v>1331449.8850120723</v>
      </c>
      <c r="F270" s="211">
        <v>179688.98223905513</v>
      </c>
      <c r="G270" s="211">
        <f t="shared" si="12"/>
        <v>1151760.9027730171</v>
      </c>
      <c r="H270" s="139">
        <v>233790.36243522327</v>
      </c>
      <c r="I270" s="139">
        <v>7345.5600000000022</v>
      </c>
      <c r="J270" s="139"/>
      <c r="K270" s="212">
        <f t="shared" si="13"/>
        <v>0.13495737561119386</v>
      </c>
      <c r="L270" s="142"/>
    </row>
    <row r="271" spans="1:13" x14ac:dyDescent="0.25">
      <c r="A271" s="139" t="s">
        <v>18</v>
      </c>
      <c r="B271" s="110">
        <v>11</v>
      </c>
      <c r="C271" s="139" t="s">
        <v>24</v>
      </c>
      <c r="D271" s="139" t="s">
        <v>8</v>
      </c>
      <c r="E271" s="211">
        <v>971114.10532929306</v>
      </c>
      <c r="F271" s="211">
        <v>99484.190366925453</v>
      </c>
      <c r="G271" s="211">
        <f t="shared" ref="G271:G334" si="14">E271-F271</f>
        <v>871629.91496236762</v>
      </c>
      <c r="H271" s="139">
        <v>118021.66680515248</v>
      </c>
      <c r="I271" s="139">
        <v>5571.7999999999975</v>
      </c>
      <c r="J271" s="139"/>
      <c r="K271" s="212">
        <f t="shared" si="13"/>
        <v>0.1024433584281958</v>
      </c>
      <c r="L271" s="142"/>
    </row>
    <row r="272" spans="1:13" x14ac:dyDescent="0.25">
      <c r="A272" s="139" t="s">
        <v>18</v>
      </c>
      <c r="B272" s="110">
        <v>14</v>
      </c>
      <c r="C272" s="139" t="s">
        <v>24</v>
      </c>
      <c r="D272" s="139" t="s">
        <v>8</v>
      </c>
      <c r="E272" s="211">
        <v>964835.19919067959</v>
      </c>
      <c r="F272" s="211">
        <v>107261.07978931753</v>
      </c>
      <c r="G272" s="211">
        <f t="shared" si="14"/>
        <v>857574.11940136203</v>
      </c>
      <c r="H272" s="139">
        <v>133117.1960459275</v>
      </c>
      <c r="I272" s="139">
        <v>5547.6599999999953</v>
      </c>
      <c r="J272" s="139"/>
      <c r="K272" s="212">
        <f t="shared" si="13"/>
        <v>0.11117036347688183</v>
      </c>
      <c r="L272" s="142"/>
    </row>
    <row r="273" spans="1:12" x14ac:dyDescent="0.25">
      <c r="A273" s="139" t="s">
        <v>18</v>
      </c>
      <c r="B273" s="110">
        <v>16</v>
      </c>
      <c r="C273" s="139" t="s">
        <v>19</v>
      </c>
      <c r="D273" s="139" t="s">
        <v>8</v>
      </c>
      <c r="E273" s="211">
        <v>372541.55517255847</v>
      </c>
      <c r="F273" s="211">
        <v>13238.343838461513</v>
      </c>
      <c r="G273" s="211">
        <f t="shared" si="14"/>
        <v>359303.21133409697</v>
      </c>
      <c r="H273" s="139">
        <v>24089.78018881052</v>
      </c>
      <c r="I273" s="139">
        <v>1928.4099999999989</v>
      </c>
      <c r="J273" s="139"/>
      <c r="K273" s="212">
        <f t="shared" si="13"/>
        <v>3.5535213869844963E-2</v>
      </c>
      <c r="L273" s="142"/>
    </row>
    <row r="274" spans="1:12" x14ac:dyDescent="0.25">
      <c r="A274" s="139" t="s">
        <v>18</v>
      </c>
      <c r="B274" s="110">
        <v>17</v>
      </c>
      <c r="C274" s="139" t="s">
        <v>24</v>
      </c>
      <c r="D274" s="139" t="s">
        <v>8</v>
      </c>
      <c r="E274" s="211">
        <v>876281.44542323577</v>
      </c>
      <c r="F274" s="211">
        <v>124783.15985907489</v>
      </c>
      <c r="G274" s="211">
        <f t="shared" si="14"/>
        <v>751498.28556416091</v>
      </c>
      <c r="H274" s="139">
        <v>150222.97304789419</v>
      </c>
      <c r="I274" s="139">
        <v>4836</v>
      </c>
      <c r="J274" s="139"/>
      <c r="K274" s="212">
        <f t="shared" si="13"/>
        <v>0.14240077832391601</v>
      </c>
      <c r="L274" s="142"/>
    </row>
    <row r="275" spans="1:12" x14ac:dyDescent="0.25">
      <c r="A275" s="139" t="s">
        <v>18</v>
      </c>
      <c r="B275" s="110">
        <v>18</v>
      </c>
      <c r="C275" s="139" t="s">
        <v>24</v>
      </c>
      <c r="D275" s="139" t="s">
        <v>8</v>
      </c>
      <c r="E275" s="211">
        <v>1652530.8126070586</v>
      </c>
      <c r="F275" s="211">
        <v>228387.64674101837</v>
      </c>
      <c r="G275" s="211">
        <f t="shared" si="14"/>
        <v>1424143.1658660402</v>
      </c>
      <c r="H275" s="139">
        <v>330072.72450402152</v>
      </c>
      <c r="I275" s="139">
        <v>9137.2200000000066</v>
      </c>
      <c r="J275" s="139"/>
      <c r="K275" s="212">
        <f t="shared" si="13"/>
        <v>0.13820477355015875</v>
      </c>
      <c r="L275" s="142"/>
    </row>
    <row r="276" spans="1:12" x14ac:dyDescent="0.25">
      <c r="A276" s="139" t="s">
        <v>18</v>
      </c>
      <c r="B276" s="110">
        <v>19</v>
      </c>
      <c r="C276" s="139" t="s">
        <v>24</v>
      </c>
      <c r="D276" s="139" t="s">
        <v>8</v>
      </c>
      <c r="E276" s="211">
        <v>915852.58056224894</v>
      </c>
      <c r="F276" s="211">
        <v>151705.2090551389</v>
      </c>
      <c r="G276" s="211">
        <f t="shared" si="14"/>
        <v>764147.37150711007</v>
      </c>
      <c r="H276" s="139">
        <v>186948.89267263692</v>
      </c>
      <c r="I276" s="139">
        <v>4576.7299999999977</v>
      </c>
      <c r="J276" s="139"/>
      <c r="K276" s="212">
        <f t="shared" si="13"/>
        <v>0.16564369886036234</v>
      </c>
      <c r="L276" s="142"/>
    </row>
    <row r="277" spans="1:12" x14ac:dyDescent="0.25">
      <c r="A277" s="139" t="s">
        <v>18</v>
      </c>
      <c r="B277" s="110">
        <v>21</v>
      </c>
      <c r="C277" s="139" t="s">
        <v>24</v>
      </c>
      <c r="D277" s="139" t="s">
        <v>8</v>
      </c>
      <c r="E277" s="211">
        <v>1924329.3402468034</v>
      </c>
      <c r="F277" s="211">
        <v>283673.99916242558</v>
      </c>
      <c r="G277" s="211">
        <f t="shared" si="14"/>
        <v>1640655.3410843778</v>
      </c>
      <c r="H277" s="139">
        <v>433083.91899121512</v>
      </c>
      <c r="I277" s="139">
        <v>10649.379999999992</v>
      </c>
      <c r="J277" s="139"/>
      <c r="K277" s="212">
        <f t="shared" si="13"/>
        <v>0.1474144748663673</v>
      </c>
      <c r="L277" s="142"/>
    </row>
    <row r="278" spans="1:12" x14ac:dyDescent="0.25">
      <c r="A278" s="139" t="s">
        <v>18</v>
      </c>
      <c r="B278" s="110">
        <v>22</v>
      </c>
      <c r="C278" s="139" t="s">
        <v>24</v>
      </c>
      <c r="D278" s="139" t="s">
        <v>8</v>
      </c>
      <c r="E278" s="211">
        <v>1131684.1347163571</v>
      </c>
      <c r="F278" s="211">
        <v>144312.55711759455</v>
      </c>
      <c r="G278" s="211">
        <f t="shared" si="14"/>
        <v>987371.57759876258</v>
      </c>
      <c r="H278" s="139">
        <v>175112.49576708593</v>
      </c>
      <c r="I278" s="139">
        <v>6438.1200000000063</v>
      </c>
      <c r="J278" s="139"/>
      <c r="K278" s="212">
        <f t="shared" si="13"/>
        <v>0.12752017342168073</v>
      </c>
      <c r="L278" s="142"/>
    </row>
    <row r="279" spans="1:12" x14ac:dyDescent="0.25">
      <c r="A279" s="139" t="s">
        <v>18</v>
      </c>
      <c r="B279" s="110">
        <v>23</v>
      </c>
      <c r="C279" s="139" t="s">
        <v>19</v>
      </c>
      <c r="D279" s="139" t="s">
        <v>8</v>
      </c>
      <c r="E279" s="211">
        <v>511450.32098199677</v>
      </c>
      <c r="F279" s="211">
        <v>42937.775491082255</v>
      </c>
      <c r="G279" s="211">
        <f t="shared" si="14"/>
        <v>468512.54549091449</v>
      </c>
      <c r="H279" s="139">
        <v>51007.184421485043</v>
      </c>
      <c r="I279" s="139">
        <v>2756.2900000000013</v>
      </c>
      <c r="J279" s="139"/>
      <c r="K279" s="212">
        <f t="shared" si="13"/>
        <v>8.395297398316362E-2</v>
      </c>
      <c r="L279" s="142"/>
    </row>
    <row r="280" spans="1:12" x14ac:dyDescent="0.25">
      <c r="A280" s="139" t="s">
        <v>18</v>
      </c>
      <c r="B280" s="110">
        <v>25</v>
      </c>
      <c r="C280" s="139" t="s">
        <v>24</v>
      </c>
      <c r="D280" s="139" t="s">
        <v>8</v>
      </c>
      <c r="E280" s="211">
        <v>149808.1547832998</v>
      </c>
      <c r="F280" s="211">
        <v>9075.6166091352188</v>
      </c>
      <c r="G280" s="211">
        <f t="shared" si="14"/>
        <v>140732.5381741646</v>
      </c>
      <c r="H280" s="139">
        <v>9581.3511713762819</v>
      </c>
      <c r="I280" s="139">
        <v>878.79999999999927</v>
      </c>
      <c r="J280" s="139"/>
      <c r="K280" s="212">
        <f t="shared" si="13"/>
        <v>6.0581592652704797E-2</v>
      </c>
      <c r="L280" s="142"/>
    </row>
    <row r="281" spans="1:12" x14ac:dyDescent="0.25">
      <c r="A281" s="139" t="s">
        <v>18</v>
      </c>
      <c r="B281" s="110">
        <v>32</v>
      </c>
      <c r="C281" s="139" t="s">
        <v>19</v>
      </c>
      <c r="D281" s="139" t="s">
        <v>8</v>
      </c>
      <c r="E281" s="211">
        <v>336118.12396505638</v>
      </c>
      <c r="F281" s="211">
        <v>35016.266505988053</v>
      </c>
      <c r="G281" s="211">
        <f t="shared" si="14"/>
        <v>301101.8574590683</v>
      </c>
      <c r="H281" s="139">
        <v>46003.347888983233</v>
      </c>
      <c r="I281" s="139">
        <v>1761.239999999998</v>
      </c>
      <c r="J281" s="139"/>
      <c r="K281" s="212">
        <f t="shared" si="13"/>
        <v>0.10417845397003472</v>
      </c>
      <c r="L281" s="142"/>
    </row>
    <row r="282" spans="1:12" x14ac:dyDescent="0.25">
      <c r="A282" s="139" t="s">
        <v>18</v>
      </c>
      <c r="B282" s="110">
        <v>46</v>
      </c>
      <c r="C282" s="139" t="s">
        <v>19</v>
      </c>
      <c r="D282" s="139" t="s">
        <v>8</v>
      </c>
      <c r="E282" s="211">
        <v>397140.12569544825</v>
      </c>
      <c r="F282" s="211">
        <v>20759.8782170296</v>
      </c>
      <c r="G282" s="211">
        <f t="shared" si="14"/>
        <v>376380.24747841863</v>
      </c>
      <c r="H282" s="139">
        <v>25340.739321935973</v>
      </c>
      <c r="I282" s="139">
        <v>2256.239999999998</v>
      </c>
      <c r="J282" s="139"/>
      <c r="K282" s="212">
        <f t="shared" si="13"/>
        <v>5.227343417056167E-2</v>
      </c>
      <c r="L282" s="142"/>
    </row>
    <row r="283" spans="1:12" x14ac:dyDescent="0.25">
      <c r="A283" s="139" t="s">
        <v>18</v>
      </c>
      <c r="B283" s="110">
        <v>54</v>
      </c>
      <c r="C283" s="139" t="s">
        <v>24</v>
      </c>
      <c r="D283" s="139" t="s">
        <v>8</v>
      </c>
      <c r="E283" s="211">
        <v>1013024.3599036513</v>
      </c>
      <c r="F283" s="211">
        <v>161761.57128267162</v>
      </c>
      <c r="G283" s="211">
        <f t="shared" si="14"/>
        <v>851262.78862097964</v>
      </c>
      <c r="H283" s="139">
        <v>176793.92591202483</v>
      </c>
      <c r="I283" s="139">
        <v>5526.2399999999961</v>
      </c>
      <c r="J283" s="139"/>
      <c r="K283" s="212">
        <f t="shared" si="13"/>
        <v>0.15968181781734919</v>
      </c>
      <c r="L283" s="142"/>
    </row>
    <row r="284" spans="1:12" x14ac:dyDescent="0.25">
      <c r="A284" s="139" t="s">
        <v>18</v>
      </c>
      <c r="B284" s="110">
        <v>61</v>
      </c>
      <c r="C284" s="139" t="s">
        <v>24</v>
      </c>
      <c r="D284" s="139" t="s">
        <v>8</v>
      </c>
      <c r="E284" s="211">
        <v>287460.03925005492</v>
      </c>
      <c r="F284" s="211">
        <v>26988.519754027286</v>
      </c>
      <c r="G284" s="211">
        <f t="shared" si="14"/>
        <v>260471.51949602764</v>
      </c>
      <c r="H284" s="139">
        <v>31527.074537491684</v>
      </c>
      <c r="I284" s="139">
        <v>1546.4800000000002</v>
      </c>
      <c r="J284" s="139"/>
      <c r="K284" s="212">
        <f t="shared" si="13"/>
        <v>9.3886161792911288E-2</v>
      </c>
      <c r="L284" s="142"/>
    </row>
    <row r="285" spans="1:12" x14ac:dyDescent="0.25">
      <c r="A285" s="139" t="s">
        <v>18</v>
      </c>
      <c r="B285" s="110">
        <v>62</v>
      </c>
      <c r="C285" s="139" t="s">
        <v>24</v>
      </c>
      <c r="D285" s="139" t="s">
        <v>8</v>
      </c>
      <c r="E285" s="211">
        <v>691805.91793856851</v>
      </c>
      <c r="F285" s="211">
        <v>66364.271414256553</v>
      </c>
      <c r="G285" s="211">
        <f t="shared" si="14"/>
        <v>625441.64652431197</v>
      </c>
      <c r="H285" s="139">
        <v>82464.761229358643</v>
      </c>
      <c r="I285" s="139">
        <v>3747.6400000000026</v>
      </c>
      <c r="J285" s="139"/>
      <c r="K285" s="212">
        <f t="shared" si="13"/>
        <v>9.5929031095899953E-2</v>
      </c>
      <c r="L285" s="142"/>
    </row>
    <row r="286" spans="1:12" x14ac:dyDescent="0.25">
      <c r="A286" s="139" t="s">
        <v>18</v>
      </c>
      <c r="B286" s="110">
        <v>63</v>
      </c>
      <c r="C286" s="139" t="s">
        <v>24</v>
      </c>
      <c r="D286" s="139" t="s">
        <v>8</v>
      </c>
      <c r="E286" s="211">
        <v>986308.06808127218</v>
      </c>
      <c r="F286" s="211">
        <v>117419.34792877251</v>
      </c>
      <c r="G286" s="211">
        <f t="shared" si="14"/>
        <v>868888.72015249962</v>
      </c>
      <c r="H286" s="139">
        <v>137489.32933458735</v>
      </c>
      <c r="I286" s="139">
        <v>5649.2800000000016</v>
      </c>
      <c r="J286" s="139"/>
      <c r="K286" s="212">
        <f t="shared" si="13"/>
        <v>0.11904936371168071</v>
      </c>
      <c r="L286" s="142"/>
    </row>
    <row r="287" spans="1:12" x14ac:dyDescent="0.25">
      <c r="A287" s="139" t="s">
        <v>18</v>
      </c>
      <c r="B287" s="110">
        <v>64</v>
      </c>
      <c r="C287" s="139" t="s">
        <v>24</v>
      </c>
      <c r="D287" s="139" t="s">
        <v>8</v>
      </c>
      <c r="E287" s="211">
        <v>939863.96472482709</v>
      </c>
      <c r="F287" s="211">
        <v>115731.1635671023</v>
      </c>
      <c r="G287" s="211">
        <f t="shared" si="14"/>
        <v>824132.80115772481</v>
      </c>
      <c r="H287" s="139">
        <v>147087.27697870825</v>
      </c>
      <c r="I287" s="139">
        <v>5169.840000000002</v>
      </c>
      <c r="J287" s="139"/>
      <c r="K287" s="212">
        <f t="shared" si="13"/>
        <v>0.12313607916756976</v>
      </c>
      <c r="L287" s="142"/>
    </row>
    <row r="288" spans="1:12" x14ac:dyDescent="0.25">
      <c r="A288" s="139" t="s">
        <v>18</v>
      </c>
      <c r="B288" s="110">
        <v>65</v>
      </c>
      <c r="C288" s="139" t="s">
        <v>19</v>
      </c>
      <c r="D288" s="139" t="s">
        <v>8</v>
      </c>
      <c r="E288" s="211">
        <v>444770.97806582815</v>
      </c>
      <c r="F288" s="211">
        <v>28679.465185402991</v>
      </c>
      <c r="G288" s="211">
        <f t="shared" si="14"/>
        <v>416091.51288042514</v>
      </c>
      <c r="H288" s="139">
        <v>32822.636691118299</v>
      </c>
      <c r="I288" s="139">
        <v>2077.4000000000015</v>
      </c>
      <c r="J288" s="139"/>
      <c r="K288" s="212">
        <f t="shared" si="13"/>
        <v>6.4481422124530563E-2</v>
      </c>
      <c r="L288" s="142"/>
    </row>
    <row r="289" spans="1:12" x14ac:dyDescent="0.25">
      <c r="A289" s="139" t="s">
        <v>18</v>
      </c>
      <c r="B289" s="110">
        <v>67</v>
      </c>
      <c r="C289" s="139" t="s">
        <v>24</v>
      </c>
      <c r="D289" s="139" t="s">
        <v>8</v>
      </c>
      <c r="E289" s="211">
        <v>488127.88381360378</v>
      </c>
      <c r="F289" s="211">
        <v>23114.729200773552</v>
      </c>
      <c r="G289" s="211">
        <f t="shared" si="14"/>
        <v>465013.15461283026</v>
      </c>
      <c r="H289" s="139">
        <v>28820.812200572695</v>
      </c>
      <c r="I289" s="139">
        <v>2478.4900000000011</v>
      </c>
      <c r="J289" s="139"/>
      <c r="K289" s="212">
        <f t="shared" si="13"/>
        <v>4.7353838957497722E-2</v>
      </c>
      <c r="L289" s="142"/>
    </row>
    <row r="290" spans="1:12" x14ac:dyDescent="0.25">
      <c r="A290" s="139" t="s">
        <v>18</v>
      </c>
      <c r="B290" s="110">
        <v>68</v>
      </c>
      <c r="C290" s="139" t="s">
        <v>24</v>
      </c>
      <c r="D290" s="139" t="s">
        <v>8</v>
      </c>
      <c r="E290" s="211">
        <v>803213.1848723765</v>
      </c>
      <c r="F290" s="211">
        <v>89338.908035873421</v>
      </c>
      <c r="G290" s="211">
        <f t="shared" si="14"/>
        <v>713874.27683650306</v>
      </c>
      <c r="H290" s="139">
        <v>104873.11127323023</v>
      </c>
      <c r="I290" s="139">
        <v>4627.4799999999941</v>
      </c>
      <c r="J290" s="139"/>
      <c r="K290" s="212">
        <f t="shared" si="13"/>
        <v>0.11122689432702551</v>
      </c>
      <c r="L290" s="142"/>
    </row>
    <row r="291" spans="1:12" x14ac:dyDescent="0.25">
      <c r="A291" s="139" t="s">
        <v>18</v>
      </c>
      <c r="B291" s="110">
        <v>70</v>
      </c>
      <c r="C291" s="139" t="s">
        <v>24</v>
      </c>
      <c r="D291" s="139" t="s">
        <v>8</v>
      </c>
      <c r="E291" s="211">
        <v>77255.573120302768</v>
      </c>
      <c r="F291" s="211">
        <v>5745.4250692441274</v>
      </c>
      <c r="G291" s="211">
        <f t="shared" si="14"/>
        <v>71510.148051058641</v>
      </c>
      <c r="H291" s="139">
        <v>6716.3850638368986</v>
      </c>
      <c r="I291" s="139">
        <v>403</v>
      </c>
      <c r="J291" s="139"/>
      <c r="K291" s="212">
        <f t="shared" si="13"/>
        <v>7.4369069274747623E-2</v>
      </c>
      <c r="L291" s="142"/>
    </row>
    <row r="292" spans="1:12" x14ac:dyDescent="0.25">
      <c r="A292" s="139" t="s">
        <v>18</v>
      </c>
      <c r="B292" s="110">
        <v>71</v>
      </c>
      <c r="C292" s="139" t="s">
        <v>24</v>
      </c>
      <c r="D292" s="139" t="s">
        <v>8</v>
      </c>
      <c r="E292" s="211">
        <v>427606.4343903634</v>
      </c>
      <c r="F292" s="211">
        <v>23261.524447377895</v>
      </c>
      <c r="G292" s="211">
        <f t="shared" si="14"/>
        <v>404344.90994298551</v>
      </c>
      <c r="H292" s="139">
        <v>32239.685585963645</v>
      </c>
      <c r="I292" s="139">
        <v>2127.3599999999997</v>
      </c>
      <c r="J292" s="139"/>
      <c r="K292" s="212">
        <f t="shared" si="13"/>
        <v>5.4399378906778491E-2</v>
      </c>
      <c r="L292" s="142"/>
    </row>
    <row r="293" spans="1:12" x14ac:dyDescent="0.25">
      <c r="A293" s="139" t="s">
        <v>18</v>
      </c>
      <c r="B293" s="110">
        <v>74</v>
      </c>
      <c r="C293" s="139" t="s">
        <v>24</v>
      </c>
      <c r="D293" s="139" t="s">
        <v>8</v>
      </c>
      <c r="E293" s="211">
        <v>933274.27610979637</v>
      </c>
      <c r="F293" s="211">
        <v>101795.25449258354</v>
      </c>
      <c r="G293" s="211">
        <f t="shared" si="14"/>
        <v>831479.0216172128</v>
      </c>
      <c r="H293" s="139">
        <v>126954.71825994216</v>
      </c>
      <c r="I293" s="139">
        <v>5389.0000000000009</v>
      </c>
      <c r="J293" s="139"/>
      <c r="K293" s="212">
        <f t="shared" si="13"/>
        <v>0.10907324577390119</v>
      </c>
      <c r="L293" s="142"/>
    </row>
    <row r="294" spans="1:12" x14ac:dyDescent="0.25">
      <c r="A294" s="139" t="s">
        <v>18</v>
      </c>
      <c r="B294" s="110">
        <v>84</v>
      </c>
      <c r="C294" s="139" t="s">
        <v>19</v>
      </c>
      <c r="D294" s="139" t="s">
        <v>8</v>
      </c>
      <c r="E294" s="211">
        <v>330723.43522616441</v>
      </c>
      <c r="F294" s="211">
        <v>21444.984491906896</v>
      </c>
      <c r="G294" s="211">
        <f t="shared" si="14"/>
        <v>309278.45073425752</v>
      </c>
      <c r="H294" s="139">
        <v>28075.008206611503</v>
      </c>
      <c r="I294" s="139">
        <v>1663.8000000000013</v>
      </c>
      <c r="J294" s="139"/>
      <c r="K294" s="212">
        <f t="shared" si="13"/>
        <v>6.4842651616876787E-2</v>
      </c>
      <c r="L294" s="142"/>
    </row>
    <row r="295" spans="1:12" x14ac:dyDescent="0.25">
      <c r="A295" s="139" t="s">
        <v>18</v>
      </c>
      <c r="B295" s="110">
        <v>94</v>
      </c>
      <c r="C295" s="139" t="s">
        <v>12</v>
      </c>
      <c r="D295" s="139" t="s">
        <v>8</v>
      </c>
      <c r="E295" s="211">
        <v>14177.731556965482</v>
      </c>
      <c r="F295" s="211">
        <v>459.10832908817821</v>
      </c>
      <c r="G295" s="211">
        <f t="shared" si="14"/>
        <v>13718.623227877304</v>
      </c>
      <c r="H295" s="139">
        <v>504.11785961771932</v>
      </c>
      <c r="I295" s="139">
        <v>71.539999999999992</v>
      </c>
      <c r="J295" s="139"/>
      <c r="K295" s="212">
        <f t="shared" si="13"/>
        <v>3.238235448622382E-2</v>
      </c>
      <c r="L295" s="142"/>
    </row>
    <row r="296" spans="1:12" x14ac:dyDescent="0.25">
      <c r="A296" s="139" t="s">
        <v>18</v>
      </c>
      <c r="B296" s="110">
        <v>515</v>
      </c>
      <c r="C296" s="139" t="s">
        <v>20</v>
      </c>
      <c r="D296" s="139" t="s">
        <v>8</v>
      </c>
      <c r="E296" s="211">
        <v>530696.83222072537</v>
      </c>
      <c r="F296" s="211">
        <v>48523.575608199986</v>
      </c>
      <c r="G296" s="211">
        <f t="shared" si="14"/>
        <v>482173.25661252538</v>
      </c>
      <c r="H296" s="139">
        <v>59413.297866633176</v>
      </c>
      <c r="I296" s="139">
        <v>2563.3500000000026</v>
      </c>
      <c r="J296" s="139"/>
      <c r="K296" s="212">
        <f t="shared" si="13"/>
        <v>9.143370124360993E-2</v>
      </c>
      <c r="L296" s="142"/>
    </row>
    <row r="297" spans="1:12" x14ac:dyDescent="0.25">
      <c r="A297" s="139" t="s">
        <v>18</v>
      </c>
      <c r="B297" s="110">
        <v>535</v>
      </c>
      <c r="C297" s="139" t="s">
        <v>12</v>
      </c>
      <c r="D297" s="139" t="s">
        <v>8</v>
      </c>
      <c r="E297" s="211">
        <v>295999.68163305748</v>
      </c>
      <c r="F297" s="211">
        <v>7218.8606489783824</v>
      </c>
      <c r="G297" s="211">
        <f t="shared" si="14"/>
        <v>288780.8209840791</v>
      </c>
      <c r="H297" s="139">
        <v>7814.8641036211875</v>
      </c>
      <c r="I297" s="139">
        <v>1509.5700000000004</v>
      </c>
      <c r="J297" s="139"/>
      <c r="K297" s="212">
        <f t="shared" si="13"/>
        <v>2.438806896396396E-2</v>
      </c>
      <c r="L297" s="142"/>
    </row>
    <row r="298" spans="1:12" x14ac:dyDescent="0.25">
      <c r="A298" s="139" t="s">
        <v>18</v>
      </c>
      <c r="B298" s="110">
        <v>612</v>
      </c>
      <c r="C298" s="139" t="s">
        <v>20</v>
      </c>
      <c r="D298" s="139" t="s">
        <v>8</v>
      </c>
      <c r="E298" s="211">
        <v>385687.92895379913</v>
      </c>
      <c r="F298" s="211">
        <v>29806.976781114674</v>
      </c>
      <c r="G298" s="211">
        <f t="shared" si="14"/>
        <v>355880.95217268448</v>
      </c>
      <c r="H298" s="139">
        <v>37756.975494002021</v>
      </c>
      <c r="I298" s="139">
        <v>2026.9600000000007</v>
      </c>
      <c r="J298" s="139"/>
      <c r="K298" s="212">
        <f t="shared" si="13"/>
        <v>7.728262811327237E-2</v>
      </c>
      <c r="L298" s="142"/>
    </row>
    <row r="299" spans="1:12" x14ac:dyDescent="0.25">
      <c r="A299" s="139" t="s">
        <v>18</v>
      </c>
      <c r="B299" s="110">
        <v>645</v>
      </c>
      <c r="C299" s="139" t="s">
        <v>12</v>
      </c>
      <c r="D299" s="139" t="s">
        <v>8</v>
      </c>
      <c r="E299" s="211">
        <v>217941.02459139016</v>
      </c>
      <c r="F299" s="211">
        <v>19732.818825162023</v>
      </c>
      <c r="G299" s="211">
        <f t="shared" si="14"/>
        <v>198208.20576622814</v>
      </c>
      <c r="H299" s="139">
        <v>21325.430197285372</v>
      </c>
      <c r="I299" s="139">
        <v>1318.8000000000013</v>
      </c>
      <c r="J299" s="139"/>
      <c r="K299" s="212">
        <f t="shared" si="13"/>
        <v>9.0542011822502808E-2</v>
      </c>
      <c r="L299" s="142"/>
    </row>
    <row r="300" spans="1:12" x14ac:dyDescent="0.25">
      <c r="A300" s="139" t="s">
        <v>18</v>
      </c>
      <c r="B300" s="110">
        <v>721</v>
      </c>
      <c r="C300" s="139" t="s">
        <v>20</v>
      </c>
      <c r="D300" s="139" t="s">
        <v>8</v>
      </c>
      <c r="E300" s="211">
        <v>165092.87701954329</v>
      </c>
      <c r="F300" s="211">
        <v>16517.577544176445</v>
      </c>
      <c r="G300" s="211">
        <f t="shared" si="14"/>
        <v>148575.29947536683</v>
      </c>
      <c r="H300" s="139">
        <v>22301.510250578118</v>
      </c>
      <c r="I300" s="139">
        <v>858</v>
      </c>
      <c r="J300" s="139"/>
      <c r="K300" s="212">
        <f t="shared" si="13"/>
        <v>0.10005021320345114</v>
      </c>
      <c r="L300" s="142"/>
    </row>
    <row r="301" spans="1:12" x14ac:dyDescent="0.25">
      <c r="A301" s="139" t="s">
        <v>18</v>
      </c>
      <c r="B301" s="110">
        <v>722</v>
      </c>
      <c r="C301" s="139" t="s">
        <v>20</v>
      </c>
      <c r="D301" s="139" t="s">
        <v>8</v>
      </c>
      <c r="E301" s="211">
        <v>249774.22612506535</v>
      </c>
      <c r="F301" s="211">
        <v>26830.065573507472</v>
      </c>
      <c r="G301" s="211">
        <f t="shared" si="14"/>
        <v>222944.16055155787</v>
      </c>
      <c r="H301" s="139">
        <v>32522.862902168665</v>
      </c>
      <c r="I301" s="139">
        <v>1207.9600000000005</v>
      </c>
      <c r="J301" s="139"/>
      <c r="K301" s="212">
        <f t="shared" si="13"/>
        <v>0.10741727034747489</v>
      </c>
      <c r="L301" s="142"/>
    </row>
    <row r="302" spans="1:12" x14ac:dyDescent="0.25">
      <c r="A302" s="139" t="s">
        <v>18</v>
      </c>
      <c r="B302" s="110">
        <v>723</v>
      </c>
      <c r="C302" s="139" t="s">
        <v>20</v>
      </c>
      <c r="D302" s="139" t="s">
        <v>8</v>
      </c>
      <c r="E302" s="211">
        <v>92067.245923413837</v>
      </c>
      <c r="F302" s="211">
        <v>13071.664987405511</v>
      </c>
      <c r="G302" s="211">
        <f t="shared" si="14"/>
        <v>78995.580936008322</v>
      </c>
      <c r="H302" s="139">
        <v>15872.45162113239</v>
      </c>
      <c r="I302" s="139">
        <v>466.96000000000032</v>
      </c>
      <c r="J302" s="139"/>
      <c r="K302" s="212">
        <f t="shared" si="13"/>
        <v>0.1419795374163704</v>
      </c>
      <c r="L302" s="142"/>
    </row>
    <row r="303" spans="1:12" x14ac:dyDescent="0.25">
      <c r="A303" s="139" t="s">
        <v>18</v>
      </c>
      <c r="B303" s="110">
        <v>724</v>
      </c>
      <c r="C303" s="139" t="s">
        <v>20</v>
      </c>
      <c r="D303" s="139" t="s">
        <v>8</v>
      </c>
      <c r="E303" s="211">
        <v>281713.31372371531</v>
      </c>
      <c r="F303" s="211">
        <v>50763.300717297432</v>
      </c>
      <c r="G303" s="211">
        <f t="shared" si="14"/>
        <v>230950.0130064179</v>
      </c>
      <c r="H303" s="139">
        <v>59207.916516418547</v>
      </c>
      <c r="I303" s="139">
        <v>1252.5600000000006</v>
      </c>
      <c r="J303" s="139"/>
      <c r="K303" s="212">
        <f t="shared" si="13"/>
        <v>0.18019489404424288</v>
      </c>
      <c r="L303" s="142"/>
    </row>
    <row r="304" spans="1:12" x14ac:dyDescent="0.25">
      <c r="A304" s="139" t="s">
        <v>18</v>
      </c>
      <c r="B304" s="110">
        <v>852</v>
      </c>
      <c r="C304" s="139" t="s">
        <v>12</v>
      </c>
      <c r="D304" s="139" t="s">
        <v>8</v>
      </c>
      <c r="E304" s="211">
        <v>180520.61420068741</v>
      </c>
      <c r="F304" s="211">
        <v>18399.729491765898</v>
      </c>
      <c r="G304" s="211">
        <f t="shared" si="14"/>
        <v>162120.88470892151</v>
      </c>
      <c r="H304" s="139">
        <v>15852.743309748155</v>
      </c>
      <c r="I304" s="139">
        <v>1018.9999999999992</v>
      </c>
      <c r="J304" s="139"/>
      <c r="K304" s="212">
        <f t="shared" si="13"/>
        <v>0.101925918949681</v>
      </c>
      <c r="L304" s="142"/>
    </row>
    <row r="305" spans="1:12" x14ac:dyDescent="0.25">
      <c r="A305" s="139" t="s">
        <v>18</v>
      </c>
      <c r="B305" s="110">
        <v>921</v>
      </c>
      <c r="C305" s="139" t="s">
        <v>144</v>
      </c>
      <c r="D305" s="139" t="s">
        <v>8</v>
      </c>
      <c r="E305" s="211">
        <v>1141729.5594519179</v>
      </c>
      <c r="F305" s="211">
        <v>192557.91646902473</v>
      </c>
      <c r="G305" s="211">
        <f t="shared" si="14"/>
        <v>949171.64298289316</v>
      </c>
      <c r="H305" s="139">
        <v>207630</v>
      </c>
      <c r="I305" s="139">
        <v>5219.9999999999982</v>
      </c>
      <c r="J305" s="139"/>
      <c r="K305" s="212">
        <f t="shared" si="13"/>
        <v>0.16865457750035068</v>
      </c>
      <c r="L305" s="142"/>
    </row>
    <row r="306" spans="1:12" x14ac:dyDescent="0.25">
      <c r="A306" s="139" t="s">
        <v>18</v>
      </c>
      <c r="B306" s="110">
        <v>2</v>
      </c>
      <c r="C306" s="139" t="s">
        <v>24</v>
      </c>
      <c r="D306" s="139" t="s">
        <v>9</v>
      </c>
      <c r="E306" s="211">
        <v>862044.58268712903</v>
      </c>
      <c r="F306" s="211">
        <v>104537.65039096378</v>
      </c>
      <c r="G306" s="211">
        <f t="shared" si="14"/>
        <v>757506.93229616527</v>
      </c>
      <c r="H306" s="139">
        <v>137876.23460544623</v>
      </c>
      <c r="I306" s="139">
        <v>4607.6200000000008</v>
      </c>
      <c r="J306" s="139"/>
      <c r="K306" s="212">
        <f t="shared" si="13"/>
        <v>0.12126710438235506</v>
      </c>
      <c r="L306" s="142"/>
    </row>
    <row r="307" spans="1:12" x14ac:dyDescent="0.25">
      <c r="A307" s="139" t="s">
        <v>18</v>
      </c>
      <c r="B307" s="110">
        <v>3</v>
      </c>
      <c r="C307" s="139" t="s">
        <v>24</v>
      </c>
      <c r="D307" s="139" t="s">
        <v>9</v>
      </c>
      <c r="E307" s="211">
        <v>705975.3986333278</v>
      </c>
      <c r="F307" s="211">
        <v>80411.920882192848</v>
      </c>
      <c r="G307" s="211">
        <f t="shared" si="14"/>
        <v>625563.47775113489</v>
      </c>
      <c r="H307" s="139">
        <v>93079.242829087292</v>
      </c>
      <c r="I307" s="139">
        <v>3922.6399999999971</v>
      </c>
      <c r="J307" s="139"/>
      <c r="K307" s="212">
        <f t="shared" si="13"/>
        <v>0.11390187397161342</v>
      </c>
      <c r="L307" s="142"/>
    </row>
    <row r="308" spans="1:12" x14ac:dyDescent="0.25">
      <c r="A308" s="139" t="s">
        <v>18</v>
      </c>
      <c r="B308" s="110">
        <v>4</v>
      </c>
      <c r="C308" s="139" t="s">
        <v>24</v>
      </c>
      <c r="D308" s="139" t="s">
        <v>9</v>
      </c>
      <c r="E308" s="211">
        <v>1003043.566922036</v>
      </c>
      <c r="F308" s="211">
        <v>114712.73861583322</v>
      </c>
      <c r="G308" s="211">
        <f t="shared" si="14"/>
        <v>888330.82830620278</v>
      </c>
      <c r="H308" s="139">
        <v>114865.22514503576</v>
      </c>
      <c r="I308" s="139">
        <v>5420.4200000000028</v>
      </c>
      <c r="J308" s="139"/>
      <c r="K308" s="212">
        <f t="shared" si="13"/>
        <v>0.11436466211317574</v>
      </c>
      <c r="L308" s="142"/>
    </row>
    <row r="309" spans="1:12" x14ac:dyDescent="0.25">
      <c r="A309" s="139" t="s">
        <v>18</v>
      </c>
      <c r="B309" s="110">
        <v>5</v>
      </c>
      <c r="C309" s="139" t="s">
        <v>24</v>
      </c>
      <c r="D309" s="139" t="s">
        <v>9</v>
      </c>
      <c r="E309" s="211">
        <v>1739631.03948258</v>
      </c>
      <c r="F309" s="211">
        <v>351626.81251820276</v>
      </c>
      <c r="G309" s="211">
        <f t="shared" si="14"/>
        <v>1388004.2269643773</v>
      </c>
      <c r="H309" s="139">
        <v>413412.94967065862</v>
      </c>
      <c r="I309" s="139">
        <v>9772.9300000000057</v>
      </c>
      <c r="J309" s="139"/>
      <c r="K309" s="212">
        <f t="shared" si="13"/>
        <v>0.2021272353376653</v>
      </c>
      <c r="L309" s="142"/>
    </row>
    <row r="310" spans="1:12" x14ac:dyDescent="0.25">
      <c r="A310" s="139" t="s">
        <v>18</v>
      </c>
      <c r="B310" s="110">
        <v>6</v>
      </c>
      <c r="C310" s="139" t="s">
        <v>24</v>
      </c>
      <c r="D310" s="139" t="s">
        <v>9</v>
      </c>
      <c r="E310" s="211">
        <v>1326568.1248736414</v>
      </c>
      <c r="F310" s="211">
        <v>162164.74599825568</v>
      </c>
      <c r="G310" s="211">
        <f t="shared" si="14"/>
        <v>1164403.3788753857</v>
      </c>
      <c r="H310" s="139">
        <v>187796.35006215889</v>
      </c>
      <c r="I310" s="139">
        <v>7089.5699999999897</v>
      </c>
      <c r="J310" s="139"/>
      <c r="K310" s="212">
        <f t="shared" si="13"/>
        <v>0.12224381315788228</v>
      </c>
      <c r="L310" s="142"/>
    </row>
    <row r="311" spans="1:12" x14ac:dyDescent="0.25">
      <c r="A311" s="139" t="s">
        <v>18</v>
      </c>
      <c r="B311" s="110">
        <v>7</v>
      </c>
      <c r="C311" s="139" t="s">
        <v>24</v>
      </c>
      <c r="D311" s="139" t="s">
        <v>9</v>
      </c>
      <c r="E311" s="211">
        <v>706716.60108814889</v>
      </c>
      <c r="F311" s="211">
        <v>38869.119760344227</v>
      </c>
      <c r="G311" s="211">
        <f t="shared" si="14"/>
        <v>667847.48132780462</v>
      </c>
      <c r="H311" s="139">
        <v>45622.6662954036</v>
      </c>
      <c r="I311" s="139">
        <v>4022.8800000000056</v>
      </c>
      <c r="J311" s="139"/>
      <c r="K311" s="212">
        <f t="shared" si="13"/>
        <v>5.4999584982858035E-2</v>
      </c>
      <c r="L311" s="142"/>
    </row>
    <row r="312" spans="1:12" x14ac:dyDescent="0.25">
      <c r="A312" s="139" t="s">
        <v>18</v>
      </c>
      <c r="B312" s="110">
        <v>9</v>
      </c>
      <c r="C312" s="139" t="s">
        <v>24</v>
      </c>
      <c r="D312" s="139" t="s">
        <v>9</v>
      </c>
      <c r="E312" s="211">
        <v>727891.06379563164</v>
      </c>
      <c r="F312" s="211">
        <v>64263.653484880291</v>
      </c>
      <c r="G312" s="211">
        <f t="shared" si="14"/>
        <v>663627.41031075129</v>
      </c>
      <c r="H312" s="139">
        <v>75457.937892490954</v>
      </c>
      <c r="I312" s="139">
        <v>4005.0399999999977</v>
      </c>
      <c r="J312" s="139"/>
      <c r="K312" s="212">
        <f t="shared" si="13"/>
        <v>8.8287460419933739E-2</v>
      </c>
      <c r="L312" s="142"/>
    </row>
    <row r="313" spans="1:12" x14ac:dyDescent="0.25">
      <c r="A313" s="139" t="s">
        <v>18</v>
      </c>
      <c r="B313" s="110">
        <v>10</v>
      </c>
      <c r="C313" s="139" t="s">
        <v>24</v>
      </c>
      <c r="D313" s="139" t="s">
        <v>9</v>
      </c>
      <c r="E313" s="211">
        <v>1005678.3422530883</v>
      </c>
      <c r="F313" s="211">
        <v>145250.30614874061</v>
      </c>
      <c r="G313" s="211">
        <f t="shared" si="14"/>
        <v>860428.03610434767</v>
      </c>
      <c r="H313" s="139">
        <v>177924.56061775185</v>
      </c>
      <c r="I313" s="139">
        <v>5122.6600000000044</v>
      </c>
      <c r="J313" s="139"/>
      <c r="K313" s="212">
        <f t="shared" si="13"/>
        <v>0.14443018214285758</v>
      </c>
      <c r="L313" s="142"/>
    </row>
    <row r="314" spans="1:12" x14ac:dyDescent="0.25">
      <c r="A314" s="139" t="s">
        <v>18</v>
      </c>
      <c r="B314" s="110">
        <v>11</v>
      </c>
      <c r="C314" s="139" t="s">
        <v>24</v>
      </c>
      <c r="D314" s="139" t="s">
        <v>9</v>
      </c>
      <c r="E314" s="211">
        <v>670253.29071331886</v>
      </c>
      <c r="F314" s="211">
        <v>71820.750050998089</v>
      </c>
      <c r="G314" s="211">
        <f t="shared" si="14"/>
        <v>598432.5406623208</v>
      </c>
      <c r="H314" s="139">
        <v>81074.806636997033</v>
      </c>
      <c r="I314" s="139">
        <v>3735.0600000000045</v>
      </c>
      <c r="J314" s="139"/>
      <c r="K314" s="212">
        <f t="shared" si="13"/>
        <v>0.10715463996388987</v>
      </c>
      <c r="L314" s="142"/>
    </row>
    <row r="315" spans="1:12" x14ac:dyDescent="0.25">
      <c r="A315" s="139" t="s">
        <v>18</v>
      </c>
      <c r="B315" s="110">
        <v>14</v>
      </c>
      <c r="C315" s="139" t="s">
        <v>24</v>
      </c>
      <c r="D315" s="139" t="s">
        <v>9</v>
      </c>
      <c r="E315" s="211">
        <v>941573.2683451284</v>
      </c>
      <c r="F315" s="211">
        <v>96539.494891359165</v>
      </c>
      <c r="G315" s="211">
        <f t="shared" si="14"/>
        <v>845033.77345376927</v>
      </c>
      <c r="H315" s="139">
        <v>109726.54227148395</v>
      </c>
      <c r="I315" s="139">
        <v>5066.2600000000011</v>
      </c>
      <c r="J315" s="139"/>
      <c r="K315" s="212">
        <f t="shared" si="13"/>
        <v>0.1025299869239418</v>
      </c>
      <c r="L315" s="142"/>
    </row>
    <row r="316" spans="1:12" x14ac:dyDescent="0.25">
      <c r="A316" s="139" t="s">
        <v>18</v>
      </c>
      <c r="B316" s="110">
        <v>16</v>
      </c>
      <c r="C316" s="139" t="s">
        <v>19</v>
      </c>
      <c r="D316" s="139" t="s">
        <v>9</v>
      </c>
      <c r="E316" s="211">
        <v>366332.78136269422</v>
      </c>
      <c r="F316" s="211">
        <v>11934.172563747783</v>
      </c>
      <c r="G316" s="211">
        <f t="shared" si="14"/>
        <v>354398.60879894643</v>
      </c>
      <c r="H316" s="139">
        <v>19928.21464809799</v>
      </c>
      <c r="I316" s="139">
        <v>1980.6799999999985</v>
      </c>
      <c r="J316" s="139"/>
      <c r="K316" s="212">
        <f t="shared" si="13"/>
        <v>3.2577408222531266E-2</v>
      </c>
      <c r="L316" s="142"/>
    </row>
    <row r="317" spans="1:12" x14ac:dyDescent="0.25">
      <c r="A317" s="139" t="s">
        <v>18</v>
      </c>
      <c r="B317" s="110">
        <v>17</v>
      </c>
      <c r="C317" s="139" t="s">
        <v>24</v>
      </c>
      <c r="D317" s="139" t="s">
        <v>9</v>
      </c>
      <c r="E317" s="211">
        <v>735342.96751117066</v>
      </c>
      <c r="F317" s="211">
        <v>107155.56399827501</v>
      </c>
      <c r="G317" s="211">
        <f t="shared" si="14"/>
        <v>628187.40351289569</v>
      </c>
      <c r="H317" s="139">
        <v>123921.71286586356</v>
      </c>
      <c r="I317" s="139">
        <v>4056.6599999999971</v>
      </c>
      <c r="J317" s="139"/>
      <c r="K317" s="212">
        <f t="shared" si="13"/>
        <v>0.14572188588537391</v>
      </c>
      <c r="L317" s="142"/>
    </row>
    <row r="318" spans="1:12" x14ac:dyDescent="0.25">
      <c r="A318" s="139" t="s">
        <v>18</v>
      </c>
      <c r="B318" s="110">
        <v>18</v>
      </c>
      <c r="C318" s="139" t="s">
        <v>24</v>
      </c>
      <c r="D318" s="139" t="s">
        <v>9</v>
      </c>
      <c r="E318" s="211">
        <v>1410471.1426444161</v>
      </c>
      <c r="F318" s="211">
        <v>213977.10685719425</v>
      </c>
      <c r="G318" s="211">
        <f t="shared" si="14"/>
        <v>1196494.0357872217</v>
      </c>
      <c r="H318" s="139">
        <v>290215.257928279</v>
      </c>
      <c r="I318" s="139">
        <v>7574.0100000000039</v>
      </c>
      <c r="J318" s="139"/>
      <c r="K318" s="212">
        <f t="shared" si="13"/>
        <v>0.15170612172612064</v>
      </c>
    </row>
    <row r="319" spans="1:12" x14ac:dyDescent="0.25">
      <c r="A319" s="139" t="s">
        <v>18</v>
      </c>
      <c r="B319" s="110">
        <v>19</v>
      </c>
      <c r="C319" s="139" t="s">
        <v>24</v>
      </c>
      <c r="D319" s="139" t="s">
        <v>9</v>
      </c>
      <c r="E319" s="211">
        <v>894079.93034484645</v>
      </c>
      <c r="F319" s="211">
        <v>139526.07204557545</v>
      </c>
      <c r="G319" s="211">
        <f t="shared" si="14"/>
        <v>754553.85829927097</v>
      </c>
      <c r="H319" s="139">
        <v>166353.70727611467</v>
      </c>
      <c r="I319" s="139">
        <v>4472.1600000000035</v>
      </c>
      <c r="J319" s="139"/>
      <c r="K319" s="212">
        <f t="shared" si="13"/>
        <v>0.1560554792810977</v>
      </c>
    </row>
    <row r="320" spans="1:12" x14ac:dyDescent="0.25">
      <c r="A320" s="139" t="s">
        <v>18</v>
      </c>
      <c r="B320" s="110">
        <v>21</v>
      </c>
      <c r="C320" s="139" t="s">
        <v>24</v>
      </c>
      <c r="D320" s="139" t="s">
        <v>9</v>
      </c>
      <c r="E320" s="211">
        <v>1536798.7187337126</v>
      </c>
      <c r="F320" s="211">
        <v>245127.97333977566</v>
      </c>
      <c r="G320" s="211">
        <f t="shared" si="14"/>
        <v>1291670.745393937</v>
      </c>
      <c r="H320" s="139">
        <v>351311.02321939764</v>
      </c>
      <c r="I320" s="139">
        <v>8362.0000000000055</v>
      </c>
      <c r="J320" s="139"/>
      <c r="K320" s="212">
        <f t="shared" si="13"/>
        <v>0.15950558153884692</v>
      </c>
    </row>
    <row r="321" spans="1:11" x14ac:dyDescent="0.25">
      <c r="A321" s="139" t="s">
        <v>18</v>
      </c>
      <c r="B321" s="110">
        <v>22</v>
      </c>
      <c r="C321" s="139" t="s">
        <v>24</v>
      </c>
      <c r="D321" s="139" t="s">
        <v>9</v>
      </c>
      <c r="E321" s="211">
        <v>905437.2421711284</v>
      </c>
      <c r="F321" s="211">
        <v>124270.32286967496</v>
      </c>
      <c r="G321" s="211">
        <f t="shared" si="14"/>
        <v>781166.9193014534</v>
      </c>
      <c r="H321" s="139">
        <v>146195.21656868514</v>
      </c>
      <c r="I321" s="139">
        <v>5311.6399999999976</v>
      </c>
      <c r="J321" s="139"/>
      <c r="K321" s="212">
        <f t="shared" si="13"/>
        <v>0.13724896335353937</v>
      </c>
    </row>
    <row r="322" spans="1:11" x14ac:dyDescent="0.25">
      <c r="A322" s="139" t="s">
        <v>18</v>
      </c>
      <c r="B322" s="110">
        <v>23</v>
      </c>
      <c r="C322" s="139" t="s">
        <v>19</v>
      </c>
      <c r="D322" s="139" t="s">
        <v>9</v>
      </c>
      <c r="E322" s="211">
        <v>458206.13202427147</v>
      </c>
      <c r="F322" s="211">
        <v>34863.2173877186</v>
      </c>
      <c r="G322" s="211">
        <f t="shared" si="14"/>
        <v>423342.91463655286</v>
      </c>
      <c r="H322" s="139">
        <v>39295.261061518642</v>
      </c>
      <c r="I322" s="139">
        <v>2326.6200000000008</v>
      </c>
      <c r="J322" s="139"/>
      <c r="K322" s="212">
        <f t="shared" ref="K322:K357" si="15">F322/E322</f>
        <v>7.6086317818793117E-2</v>
      </c>
    </row>
    <row r="323" spans="1:11" x14ac:dyDescent="0.25">
      <c r="A323" s="139" t="s">
        <v>18</v>
      </c>
      <c r="B323" s="110">
        <v>32</v>
      </c>
      <c r="C323" s="139" t="s">
        <v>19</v>
      </c>
      <c r="D323" s="139" t="s">
        <v>9</v>
      </c>
      <c r="E323" s="211">
        <v>336404.15385485749</v>
      </c>
      <c r="F323" s="211">
        <v>27889.867544638917</v>
      </c>
      <c r="G323" s="211">
        <f t="shared" si="14"/>
        <v>308514.28631021857</v>
      </c>
      <c r="H323" s="139">
        <v>35150.291993550731</v>
      </c>
      <c r="I323" s="139">
        <v>1749.020000000002</v>
      </c>
      <c r="J323" s="139"/>
      <c r="K323" s="212">
        <f t="shared" si="15"/>
        <v>8.2905835808056272E-2</v>
      </c>
    </row>
    <row r="324" spans="1:11" x14ac:dyDescent="0.25">
      <c r="A324" s="139" t="s">
        <v>18</v>
      </c>
      <c r="B324" s="110">
        <v>46</v>
      </c>
      <c r="C324" s="139" t="s">
        <v>19</v>
      </c>
      <c r="D324" s="139" t="s">
        <v>9</v>
      </c>
      <c r="E324" s="211">
        <v>352090.41805178323</v>
      </c>
      <c r="F324" s="211">
        <v>14301.033712889179</v>
      </c>
      <c r="G324" s="211">
        <f t="shared" si="14"/>
        <v>337789.38433889404</v>
      </c>
      <c r="H324" s="139">
        <v>17664.870677550945</v>
      </c>
      <c r="I324" s="139">
        <v>1858.4600000000007</v>
      </c>
      <c r="J324" s="139"/>
      <c r="K324" s="212">
        <f t="shared" si="15"/>
        <v>4.0617503287993122E-2</v>
      </c>
    </row>
    <row r="325" spans="1:11" x14ac:dyDescent="0.25">
      <c r="A325" s="139" t="s">
        <v>18</v>
      </c>
      <c r="B325" s="110">
        <v>54</v>
      </c>
      <c r="C325" s="139" t="s">
        <v>24</v>
      </c>
      <c r="D325" s="139" t="s">
        <v>9</v>
      </c>
      <c r="E325" s="211">
        <v>733791.80541647994</v>
      </c>
      <c r="F325" s="211">
        <v>137335.25592034269</v>
      </c>
      <c r="G325" s="211">
        <f t="shared" si="14"/>
        <v>596456.5494961373</v>
      </c>
      <c r="H325" s="139">
        <v>138096.13786931237</v>
      </c>
      <c r="I325" s="139">
        <v>3950.2200000000003</v>
      </c>
      <c r="J325" s="139"/>
      <c r="K325" s="212">
        <f t="shared" si="15"/>
        <v>0.18715833960886902</v>
      </c>
    </row>
    <row r="326" spans="1:11" x14ac:dyDescent="0.25">
      <c r="A326" s="139" t="s">
        <v>18</v>
      </c>
      <c r="B326" s="110">
        <v>62</v>
      </c>
      <c r="C326" s="139" t="s">
        <v>24</v>
      </c>
      <c r="D326" s="139" t="s">
        <v>9</v>
      </c>
      <c r="E326" s="211">
        <v>469148.15045286232</v>
      </c>
      <c r="F326" s="211">
        <v>52060.330285211065</v>
      </c>
      <c r="G326" s="211">
        <f t="shared" si="14"/>
        <v>417087.82016765128</v>
      </c>
      <c r="H326" s="139">
        <v>60854.07915677518</v>
      </c>
      <c r="I326" s="139">
        <v>2424.4</v>
      </c>
      <c r="J326" s="139"/>
      <c r="K326" s="212">
        <f t="shared" si="15"/>
        <v>0.11096778327903017</v>
      </c>
    </row>
    <row r="327" spans="1:11" x14ac:dyDescent="0.25">
      <c r="A327" s="139" t="s">
        <v>18</v>
      </c>
      <c r="B327" s="110">
        <v>63</v>
      </c>
      <c r="C327" s="139" t="s">
        <v>24</v>
      </c>
      <c r="D327" s="139" t="s">
        <v>9</v>
      </c>
      <c r="E327" s="211">
        <v>1028903.144218713</v>
      </c>
      <c r="F327" s="211">
        <v>98809.884460118803</v>
      </c>
      <c r="G327" s="211">
        <f t="shared" si="14"/>
        <v>930093.25975859421</v>
      </c>
      <c r="H327" s="139">
        <v>112962.85445668412</v>
      </c>
      <c r="I327" s="139">
        <v>5700.24</v>
      </c>
      <c r="J327" s="139"/>
      <c r="K327" s="212">
        <f t="shared" si="15"/>
        <v>9.6034194292553221E-2</v>
      </c>
    </row>
    <row r="328" spans="1:11" x14ac:dyDescent="0.25">
      <c r="A328" s="139" t="s">
        <v>18</v>
      </c>
      <c r="B328" s="110">
        <v>64</v>
      </c>
      <c r="C328" s="139" t="s">
        <v>24</v>
      </c>
      <c r="D328" s="139" t="s">
        <v>9</v>
      </c>
      <c r="E328" s="211">
        <v>723134.44173398858</v>
      </c>
      <c r="F328" s="211">
        <v>105570.95389806642</v>
      </c>
      <c r="G328" s="211">
        <f t="shared" si="14"/>
        <v>617563.48783592216</v>
      </c>
      <c r="H328" s="139">
        <v>127489.95450595605</v>
      </c>
      <c r="I328" s="139">
        <v>3953.279999999997</v>
      </c>
      <c r="J328" s="139"/>
      <c r="K328" s="212">
        <f t="shared" si="15"/>
        <v>0.14599076991122162</v>
      </c>
    </row>
    <row r="329" spans="1:11" x14ac:dyDescent="0.25">
      <c r="A329" s="139" t="s">
        <v>18</v>
      </c>
      <c r="B329" s="110">
        <v>65</v>
      </c>
      <c r="C329" s="139" t="s">
        <v>19</v>
      </c>
      <c r="D329" s="139" t="s">
        <v>9</v>
      </c>
      <c r="E329" s="211">
        <v>453566.3971772106</v>
      </c>
      <c r="F329" s="211">
        <v>23938.191410257801</v>
      </c>
      <c r="G329" s="211">
        <f t="shared" si="14"/>
        <v>429628.20576695283</v>
      </c>
      <c r="H329" s="139">
        <v>26628.003239190268</v>
      </c>
      <c r="I329" s="139">
        <v>2200.5200000000023</v>
      </c>
      <c r="J329" s="139"/>
      <c r="K329" s="212">
        <f t="shared" si="15"/>
        <v>5.2777700374714999E-2</v>
      </c>
    </row>
    <row r="330" spans="1:11" x14ac:dyDescent="0.25">
      <c r="A330" s="139" t="s">
        <v>18</v>
      </c>
      <c r="B330" s="110">
        <v>67</v>
      </c>
      <c r="C330" s="139" t="s">
        <v>24</v>
      </c>
      <c r="D330" s="139" t="s">
        <v>9</v>
      </c>
      <c r="E330" s="211">
        <v>436675.50709823787</v>
      </c>
      <c r="F330" s="211">
        <v>18727.467490166357</v>
      </c>
      <c r="G330" s="211">
        <f t="shared" si="14"/>
        <v>417948.0396080715</v>
      </c>
      <c r="H330" s="139">
        <v>22981.965633107382</v>
      </c>
      <c r="I330" s="139">
        <v>2211.1799999999976</v>
      </c>
      <c r="J330" s="139"/>
      <c r="K330" s="212">
        <f t="shared" si="15"/>
        <v>4.2886461882445999E-2</v>
      </c>
    </row>
    <row r="331" spans="1:11" x14ac:dyDescent="0.25">
      <c r="A331" s="139" t="s">
        <v>18</v>
      </c>
      <c r="B331" s="110">
        <v>68</v>
      </c>
      <c r="C331" s="139" t="s">
        <v>24</v>
      </c>
      <c r="D331" s="139" t="s">
        <v>9</v>
      </c>
      <c r="E331" s="211">
        <v>540991.1579661608</v>
      </c>
      <c r="F331" s="211">
        <v>70043.733393679038</v>
      </c>
      <c r="G331" s="211">
        <f t="shared" si="14"/>
        <v>470947.42457248177</v>
      </c>
      <c r="H331" s="139">
        <v>83590.20953735293</v>
      </c>
      <c r="I331" s="139">
        <v>3092.5600000000027</v>
      </c>
      <c r="J331" s="139"/>
      <c r="K331" s="212">
        <f t="shared" si="15"/>
        <v>0.12947297263971236</v>
      </c>
    </row>
    <row r="332" spans="1:11" x14ac:dyDescent="0.25">
      <c r="A332" s="139" t="s">
        <v>18</v>
      </c>
      <c r="B332" s="110">
        <v>70</v>
      </c>
      <c r="C332" s="139" t="s">
        <v>24</v>
      </c>
      <c r="D332" s="139" t="s">
        <v>9</v>
      </c>
      <c r="E332" s="211">
        <v>85580.693085954466</v>
      </c>
      <c r="F332" s="211">
        <v>4558.730968820103</v>
      </c>
      <c r="G332" s="211">
        <f t="shared" si="14"/>
        <v>81021.962117134361</v>
      </c>
      <c r="H332" s="139">
        <v>5427.0465874895208</v>
      </c>
      <c r="I332" s="139">
        <v>428.03999999999979</v>
      </c>
      <c r="J332" s="139"/>
      <c r="K332" s="212">
        <f t="shared" si="15"/>
        <v>5.3268217449950563E-2</v>
      </c>
    </row>
    <row r="333" spans="1:11" x14ac:dyDescent="0.25">
      <c r="A333" s="139" t="s">
        <v>18</v>
      </c>
      <c r="B333" s="110">
        <v>71</v>
      </c>
      <c r="C333" s="139" t="s">
        <v>24</v>
      </c>
      <c r="D333" s="139" t="s">
        <v>9</v>
      </c>
      <c r="E333" s="211">
        <v>147134.87542862067</v>
      </c>
      <c r="F333" s="211">
        <v>12056.391363044118</v>
      </c>
      <c r="G333" s="211">
        <f t="shared" si="14"/>
        <v>135078.48406557654</v>
      </c>
      <c r="H333" s="139">
        <v>14009.497555549211</v>
      </c>
      <c r="I333" s="139">
        <v>782.7499999999992</v>
      </c>
      <c r="J333" s="139"/>
      <c r="K333" s="212">
        <f t="shared" si="15"/>
        <v>8.1941085197662869E-2</v>
      </c>
    </row>
    <row r="334" spans="1:11" x14ac:dyDescent="0.25">
      <c r="A334" s="139" t="s">
        <v>18</v>
      </c>
      <c r="B334" s="110">
        <v>74</v>
      </c>
      <c r="C334" s="139" t="s">
        <v>24</v>
      </c>
      <c r="D334" s="139" t="s">
        <v>9</v>
      </c>
      <c r="E334" s="211">
        <v>768042.50957645499</v>
      </c>
      <c r="F334" s="211">
        <v>82492.382027075917</v>
      </c>
      <c r="G334" s="211">
        <f t="shared" si="14"/>
        <v>685550.12754937913</v>
      </c>
      <c r="H334" s="139">
        <v>96379.866346172857</v>
      </c>
      <c r="I334" s="139">
        <v>4052.3200000000006</v>
      </c>
      <c r="J334" s="139"/>
      <c r="K334" s="212">
        <f t="shared" si="15"/>
        <v>0.10740601073313924</v>
      </c>
    </row>
    <row r="335" spans="1:11" x14ac:dyDescent="0.25">
      <c r="A335" s="139" t="s">
        <v>18</v>
      </c>
      <c r="B335" s="110">
        <v>84</v>
      </c>
      <c r="C335" s="139" t="s">
        <v>19</v>
      </c>
      <c r="D335" s="139" t="s">
        <v>9</v>
      </c>
      <c r="E335" s="211">
        <v>259683.51163423082</v>
      </c>
      <c r="F335" s="211">
        <v>15025.643773058315</v>
      </c>
      <c r="G335" s="211">
        <f t="shared" ref="G335:G357" si="16">E335-F335</f>
        <v>244657.8678611725</v>
      </c>
      <c r="H335" s="139">
        <v>19468.699808981426</v>
      </c>
      <c r="I335" s="139">
        <v>1346.8000000000004</v>
      </c>
      <c r="J335" s="139"/>
      <c r="K335" s="212">
        <f t="shared" si="15"/>
        <v>5.7861370090459267E-2</v>
      </c>
    </row>
    <row r="336" spans="1:11" x14ac:dyDescent="0.25">
      <c r="A336" s="139" t="s">
        <v>18</v>
      </c>
      <c r="B336" s="110">
        <v>94</v>
      </c>
      <c r="C336" s="139" t="s">
        <v>12</v>
      </c>
      <c r="D336" s="139" t="s">
        <v>9</v>
      </c>
      <c r="E336" s="211">
        <v>7059.987760762443</v>
      </c>
      <c r="F336" s="211">
        <v>116.7551984656529</v>
      </c>
      <c r="G336" s="211">
        <f t="shared" si="16"/>
        <v>6943.2325622967901</v>
      </c>
      <c r="H336" s="139">
        <v>185.67303883039455</v>
      </c>
      <c r="I336" s="139">
        <v>35.769999999999996</v>
      </c>
      <c r="J336" s="139"/>
      <c r="K336" s="212">
        <f t="shared" si="15"/>
        <v>1.653759219166747E-2</v>
      </c>
    </row>
    <row r="337" spans="1:11" x14ac:dyDescent="0.25">
      <c r="A337" s="139" t="s">
        <v>18</v>
      </c>
      <c r="B337" s="110">
        <v>515</v>
      </c>
      <c r="C337" s="139" t="s">
        <v>20</v>
      </c>
      <c r="D337" s="139" t="s">
        <v>9</v>
      </c>
      <c r="E337" s="211">
        <v>436931.2838266177</v>
      </c>
      <c r="F337" s="211">
        <v>39433.968278366199</v>
      </c>
      <c r="G337" s="211">
        <f t="shared" si="16"/>
        <v>397497.3155482515</v>
      </c>
      <c r="H337" s="139">
        <v>45600.883424926287</v>
      </c>
      <c r="I337" s="139">
        <v>1924.3100000000002</v>
      </c>
      <c r="J337" s="139"/>
      <c r="K337" s="212">
        <f t="shared" si="15"/>
        <v>9.0252105395168536E-2</v>
      </c>
    </row>
    <row r="338" spans="1:11" x14ac:dyDescent="0.25">
      <c r="A338" s="139" t="s">
        <v>18</v>
      </c>
      <c r="B338" s="110">
        <v>535</v>
      </c>
      <c r="C338" s="139" t="s">
        <v>12</v>
      </c>
      <c r="D338" s="139" t="s">
        <v>9</v>
      </c>
      <c r="E338" s="211">
        <v>310775.60069994314</v>
      </c>
      <c r="F338" s="211">
        <v>5810.0516619270466</v>
      </c>
      <c r="G338" s="211">
        <f t="shared" si="16"/>
        <v>304965.54903801612</v>
      </c>
      <c r="H338" s="139">
        <v>6276.5785361045673</v>
      </c>
      <c r="I338" s="139">
        <v>1583.3499999999997</v>
      </c>
      <c r="J338" s="139"/>
      <c r="K338" s="212">
        <f t="shared" si="15"/>
        <v>1.8695327589557803E-2</v>
      </c>
    </row>
    <row r="339" spans="1:11" x14ac:dyDescent="0.25">
      <c r="A339" s="139" t="s">
        <v>18</v>
      </c>
      <c r="B339" s="110">
        <v>612</v>
      </c>
      <c r="C339" s="139" t="s">
        <v>20</v>
      </c>
      <c r="D339" s="139" t="s">
        <v>9</v>
      </c>
      <c r="E339" s="211">
        <v>278100.81122127653</v>
      </c>
      <c r="F339" s="211">
        <v>22601.316582000418</v>
      </c>
      <c r="G339" s="211">
        <f t="shared" si="16"/>
        <v>255499.49463927612</v>
      </c>
      <c r="H339" s="139">
        <v>26550.207273199885</v>
      </c>
      <c r="I339" s="139">
        <v>1388.5200000000018</v>
      </c>
      <c r="J339" s="139"/>
      <c r="K339" s="212">
        <f t="shared" si="15"/>
        <v>8.1270228888391208E-2</v>
      </c>
    </row>
    <row r="340" spans="1:11" x14ac:dyDescent="0.25">
      <c r="A340" s="139" t="s">
        <v>18</v>
      </c>
      <c r="B340" s="110">
        <v>645</v>
      </c>
      <c r="C340" s="139" t="s">
        <v>12</v>
      </c>
      <c r="D340" s="139" t="s">
        <v>9</v>
      </c>
      <c r="E340" s="211">
        <v>179585.51648403</v>
      </c>
      <c r="F340" s="211">
        <v>13333.0592614334</v>
      </c>
      <c r="G340" s="211">
        <f t="shared" si="16"/>
        <v>166252.4572225966</v>
      </c>
      <c r="H340" s="139">
        <v>15931.576555285083</v>
      </c>
      <c r="I340" s="139">
        <v>1071.2199999999993</v>
      </c>
      <c r="J340" s="139"/>
      <c r="K340" s="212">
        <f t="shared" si="15"/>
        <v>7.4243510960523756E-2</v>
      </c>
    </row>
    <row r="341" spans="1:11" x14ac:dyDescent="0.25">
      <c r="A341" s="139" t="s">
        <v>18</v>
      </c>
      <c r="B341" s="110">
        <v>721</v>
      </c>
      <c r="C341" s="139" t="s">
        <v>20</v>
      </c>
      <c r="D341" s="139" t="s">
        <v>9</v>
      </c>
      <c r="E341" s="211">
        <v>189248.65127072236</v>
      </c>
      <c r="F341" s="211">
        <v>16873.911639067486</v>
      </c>
      <c r="G341" s="211">
        <f t="shared" si="16"/>
        <v>172374.73963165487</v>
      </c>
      <c r="H341" s="139">
        <v>21002.836258311891</v>
      </c>
      <c r="I341" s="139">
        <v>957</v>
      </c>
      <c r="J341" s="139"/>
      <c r="K341" s="212">
        <f t="shared" si="15"/>
        <v>8.9162652022968247E-2</v>
      </c>
    </row>
    <row r="342" spans="1:11" x14ac:dyDescent="0.25">
      <c r="A342" s="139" t="s">
        <v>18</v>
      </c>
      <c r="B342" s="110">
        <v>722</v>
      </c>
      <c r="C342" s="139" t="s">
        <v>20</v>
      </c>
      <c r="D342" s="139" t="s">
        <v>9</v>
      </c>
      <c r="E342" s="211">
        <v>243184.53751003373</v>
      </c>
      <c r="F342" s="211">
        <v>21984.59312537713</v>
      </c>
      <c r="G342" s="211">
        <f t="shared" si="16"/>
        <v>221199.94438465658</v>
      </c>
      <c r="H342" s="139">
        <v>25544.04611305752</v>
      </c>
      <c r="I342" s="139">
        <v>1261.5</v>
      </c>
      <c r="J342" s="139"/>
      <c r="K342" s="212">
        <f t="shared" si="15"/>
        <v>9.0402923436158245E-2</v>
      </c>
    </row>
    <row r="343" spans="1:11" x14ac:dyDescent="0.25">
      <c r="A343" s="139" t="s">
        <v>18</v>
      </c>
      <c r="B343" s="110">
        <v>723</v>
      </c>
      <c r="C343" s="139" t="s">
        <v>20</v>
      </c>
      <c r="D343" s="139" t="s">
        <v>9</v>
      </c>
      <c r="E343" s="211">
        <v>92178.632563192135</v>
      </c>
      <c r="F343" s="211">
        <v>9907.5961820573011</v>
      </c>
      <c r="G343" s="211">
        <f t="shared" si="16"/>
        <v>82271.036381134836</v>
      </c>
      <c r="H343" s="139">
        <v>11476.460902902154</v>
      </c>
      <c r="I343" s="139">
        <v>473.86000000000024</v>
      </c>
      <c r="J343" s="139"/>
      <c r="K343" s="212">
        <f t="shared" si="15"/>
        <v>0.10748256842783221</v>
      </c>
    </row>
    <row r="344" spans="1:11" x14ac:dyDescent="0.25">
      <c r="A344" s="139" t="s">
        <v>18</v>
      </c>
      <c r="B344" s="110">
        <v>724</v>
      </c>
      <c r="C344" s="139" t="s">
        <v>20</v>
      </c>
      <c r="D344" s="139" t="s">
        <v>9</v>
      </c>
      <c r="E344" s="211">
        <v>283997.42741102085</v>
      </c>
      <c r="F344" s="211">
        <v>46363.619071230503</v>
      </c>
      <c r="G344" s="211">
        <f t="shared" si="16"/>
        <v>237633.80833979035</v>
      </c>
      <c r="H344" s="139">
        <v>49609.968872297657</v>
      </c>
      <c r="I344" s="139">
        <v>1235.4400000000003</v>
      </c>
      <c r="J344" s="139"/>
      <c r="K344" s="212">
        <f t="shared" si="15"/>
        <v>0.16325365864716038</v>
      </c>
    </row>
    <row r="345" spans="1:11" x14ac:dyDescent="0.25">
      <c r="A345" s="139" t="s">
        <v>18</v>
      </c>
      <c r="B345" s="110">
        <v>921</v>
      </c>
      <c r="C345" s="139" t="s">
        <v>144</v>
      </c>
      <c r="D345" s="139" t="s">
        <v>9</v>
      </c>
      <c r="E345" s="211">
        <v>1188012.7709953506</v>
      </c>
      <c r="F345" s="211">
        <v>156754.95725462338</v>
      </c>
      <c r="G345" s="211">
        <f t="shared" si="16"/>
        <v>1031257.8137407271</v>
      </c>
      <c r="H345" s="139">
        <v>178097</v>
      </c>
      <c r="I345" s="139">
        <v>5336.5800000000072</v>
      </c>
      <c r="J345" s="139"/>
      <c r="K345" s="212">
        <f t="shared" si="15"/>
        <v>0.13194719878582589</v>
      </c>
    </row>
    <row r="346" spans="1:11" x14ac:dyDescent="0.25">
      <c r="A346" s="139" t="s">
        <v>18</v>
      </c>
      <c r="B346" s="110">
        <v>888</v>
      </c>
      <c r="C346" s="139" t="s">
        <v>23</v>
      </c>
      <c r="D346" s="139" t="s">
        <v>7</v>
      </c>
      <c r="E346" s="211">
        <v>14663149.584095674</v>
      </c>
      <c r="F346" s="211">
        <v>2380000.7303388626</v>
      </c>
      <c r="G346" s="211">
        <f t="shared" si="16"/>
        <v>12283148.853756811</v>
      </c>
      <c r="H346" s="139">
        <v>712027.6</v>
      </c>
      <c r="I346" s="139">
        <v>2636.4</v>
      </c>
      <c r="J346" s="139"/>
      <c r="K346" s="212">
        <f t="shared" si="15"/>
        <v>0.16231169959012903</v>
      </c>
    </row>
    <row r="347" spans="1:11" x14ac:dyDescent="0.25">
      <c r="A347" s="139" t="s">
        <v>18</v>
      </c>
      <c r="B347" s="110">
        <v>888</v>
      </c>
      <c r="C347" s="139" t="s">
        <v>23</v>
      </c>
      <c r="D347" s="139" t="s">
        <v>8</v>
      </c>
      <c r="E347" s="211">
        <v>844680.00097318634</v>
      </c>
      <c r="F347" s="211">
        <v>137101.44656774972</v>
      </c>
      <c r="G347" s="211">
        <f t="shared" si="16"/>
        <v>707578.55440543662</v>
      </c>
      <c r="H347" s="139">
        <v>41016.800000000003</v>
      </c>
      <c r="I347" s="139">
        <v>287.75</v>
      </c>
      <c r="J347" s="139"/>
      <c r="K347" s="212">
        <f t="shared" si="15"/>
        <v>0.16231169959012903</v>
      </c>
    </row>
    <row r="348" spans="1:11" x14ac:dyDescent="0.25">
      <c r="A348" s="139" t="s">
        <v>18</v>
      </c>
      <c r="B348" s="110">
        <v>888</v>
      </c>
      <c r="C348" s="139" t="s">
        <v>23</v>
      </c>
      <c r="D348" s="139" t="s">
        <v>9</v>
      </c>
      <c r="E348" s="211">
        <v>706003.28493113932</v>
      </c>
      <c r="F348" s="211">
        <v>114592.59309338736</v>
      </c>
      <c r="G348" s="211">
        <f t="shared" si="16"/>
        <v>591410.69183775201</v>
      </c>
      <c r="H348" s="139">
        <v>34282.800000000003</v>
      </c>
      <c r="I348" s="139">
        <v>266.93</v>
      </c>
      <c r="J348" s="139"/>
      <c r="K348" s="212">
        <f t="shared" si="15"/>
        <v>0.16231169959012903</v>
      </c>
    </row>
    <row r="349" spans="1:11" x14ac:dyDescent="0.25">
      <c r="A349" s="139" t="s">
        <v>18</v>
      </c>
      <c r="B349" s="110" t="s">
        <v>142</v>
      </c>
      <c r="C349" s="139" t="s">
        <v>22</v>
      </c>
      <c r="D349" s="139" t="s">
        <v>7</v>
      </c>
      <c r="E349" s="211">
        <v>27155242.92455402</v>
      </c>
      <c r="F349" s="211">
        <v>8826846.3091392312</v>
      </c>
      <c r="G349" s="211">
        <f t="shared" si="16"/>
        <v>18328396.615414791</v>
      </c>
      <c r="H349" s="139">
        <v>8328955</v>
      </c>
      <c r="I349" s="139">
        <v>37987.379999999997</v>
      </c>
      <c r="J349" s="139"/>
      <c r="K349" s="212">
        <f t="shared" si="15"/>
        <v>0.32505127402700995</v>
      </c>
    </row>
    <row r="350" spans="1:11" x14ac:dyDescent="0.25">
      <c r="A350" s="139" t="s">
        <v>18</v>
      </c>
      <c r="B350" s="110" t="s">
        <v>143</v>
      </c>
      <c r="C350" s="139" t="s">
        <v>22</v>
      </c>
      <c r="D350" s="139" t="s">
        <v>7</v>
      </c>
      <c r="E350" s="211">
        <v>26528309.07909501</v>
      </c>
      <c r="F350" s="211">
        <v>11622083.508550052</v>
      </c>
      <c r="G350" s="211">
        <f t="shared" si="16"/>
        <v>14906225.570544958</v>
      </c>
      <c r="H350" s="139">
        <v>10770751</v>
      </c>
      <c r="I350" s="139">
        <v>46062.34</v>
      </c>
      <c r="J350" s="139"/>
      <c r="K350" s="212">
        <f t="shared" si="15"/>
        <v>0.43810117990929742</v>
      </c>
    </row>
    <row r="351" spans="1:11" x14ac:dyDescent="0.25">
      <c r="A351" s="139" t="s">
        <v>18</v>
      </c>
      <c r="B351" s="110" t="s">
        <v>142</v>
      </c>
      <c r="C351" s="139" t="s">
        <v>22</v>
      </c>
      <c r="D351" s="139" t="s">
        <v>8</v>
      </c>
      <c r="E351" s="211">
        <v>5033693.1533778803</v>
      </c>
      <c r="F351" s="211">
        <v>1545492.381489211</v>
      </c>
      <c r="G351" s="211">
        <f t="shared" si="16"/>
        <v>3488200.7718886696</v>
      </c>
      <c r="H351" s="139">
        <v>1458316.6</v>
      </c>
      <c r="I351" s="139">
        <v>7453.34</v>
      </c>
      <c r="J351" s="139"/>
      <c r="K351" s="212">
        <f t="shared" si="15"/>
        <v>0.30702951777108267</v>
      </c>
    </row>
    <row r="352" spans="1:11" x14ac:dyDescent="0.25">
      <c r="A352" s="139" t="s">
        <v>18</v>
      </c>
      <c r="B352" s="110" t="s">
        <v>143</v>
      </c>
      <c r="C352" s="139" t="s">
        <v>22</v>
      </c>
      <c r="D352" s="139" t="s">
        <v>8</v>
      </c>
      <c r="E352" s="211">
        <v>4684535.5463040872</v>
      </c>
      <c r="F352" s="211">
        <v>1817329.2997799932</v>
      </c>
      <c r="G352" s="211">
        <f t="shared" si="16"/>
        <v>2867206.2465240937</v>
      </c>
      <c r="H352" s="139">
        <v>1684207.6</v>
      </c>
      <c r="I352" s="139">
        <v>8938.1</v>
      </c>
      <c r="J352" s="139"/>
      <c r="K352" s="212">
        <f t="shared" si="15"/>
        <v>0.38794225848361724</v>
      </c>
    </row>
    <row r="353" spans="1:11" x14ac:dyDescent="0.25">
      <c r="A353" s="139" t="s">
        <v>18</v>
      </c>
      <c r="B353" s="110" t="s">
        <v>142</v>
      </c>
      <c r="C353" s="139" t="s">
        <v>22</v>
      </c>
      <c r="D353" s="139" t="s">
        <v>9</v>
      </c>
      <c r="E353" s="211">
        <v>4926987.1223446922</v>
      </c>
      <c r="F353" s="211">
        <v>1454166.6167825595</v>
      </c>
      <c r="G353" s="211">
        <f t="shared" si="16"/>
        <v>3472820.5055621327</v>
      </c>
      <c r="H353" s="139">
        <v>1372142.2</v>
      </c>
      <c r="I353" s="139">
        <v>7764.88</v>
      </c>
      <c r="J353" s="139"/>
      <c r="K353" s="212">
        <f t="shared" si="15"/>
        <v>0.29514317384506167</v>
      </c>
    </row>
    <row r="354" spans="1:11" x14ac:dyDescent="0.25">
      <c r="A354" s="139" t="s">
        <v>18</v>
      </c>
      <c r="B354" s="110" t="s">
        <v>143</v>
      </c>
      <c r="C354" s="139" t="s">
        <v>22</v>
      </c>
      <c r="D354" s="139" t="s">
        <v>9</v>
      </c>
      <c r="E354" s="211">
        <v>4794911.7293242998</v>
      </c>
      <c r="F354" s="211">
        <v>1447258.9742589551</v>
      </c>
      <c r="G354" s="211">
        <f t="shared" si="16"/>
        <v>3347652.7550653447</v>
      </c>
      <c r="H354" s="139">
        <v>1341245.3999999999</v>
      </c>
      <c r="I354" s="139">
        <v>9414.69</v>
      </c>
      <c r="J354" s="139"/>
      <c r="K354" s="212">
        <f t="shared" si="15"/>
        <v>0.30183224550473697</v>
      </c>
    </row>
    <row r="355" spans="1:11" x14ac:dyDescent="0.25">
      <c r="A355" s="139" t="s">
        <v>21</v>
      </c>
      <c r="B355" s="110">
        <v>903</v>
      </c>
      <c r="C355" s="139" t="s">
        <v>43</v>
      </c>
      <c r="D355" s="139" t="s">
        <v>8</v>
      </c>
      <c r="E355" s="211">
        <v>299896</v>
      </c>
      <c r="F355" s="211">
        <v>29050</v>
      </c>
      <c r="G355" s="211">
        <f t="shared" si="16"/>
        <v>270846</v>
      </c>
      <c r="H355" s="139">
        <v>34013</v>
      </c>
      <c r="I355" s="139">
        <v>1394.82</v>
      </c>
      <c r="J355" s="139"/>
      <c r="K355" s="212">
        <f t="shared" si="15"/>
        <v>9.6866913863472667E-2</v>
      </c>
    </row>
    <row r="356" spans="1:11" x14ac:dyDescent="0.25">
      <c r="A356" s="139" t="s">
        <v>21</v>
      </c>
      <c r="B356" s="110">
        <v>903</v>
      </c>
      <c r="C356" s="139" t="s">
        <v>43</v>
      </c>
      <c r="D356" s="139" t="s">
        <v>9</v>
      </c>
      <c r="E356" s="211">
        <v>322111</v>
      </c>
      <c r="F356" s="211">
        <v>25595</v>
      </c>
      <c r="G356" s="211">
        <f t="shared" si="16"/>
        <v>296516</v>
      </c>
      <c r="H356" s="139">
        <v>29968</v>
      </c>
      <c r="I356" s="139">
        <v>1498.14</v>
      </c>
      <c r="J356" s="139"/>
      <c r="K356" s="212">
        <f t="shared" si="15"/>
        <v>7.9460186084921031E-2</v>
      </c>
    </row>
    <row r="357" spans="1:11" x14ac:dyDescent="0.25">
      <c r="A357" s="139" t="s">
        <v>21</v>
      </c>
      <c r="B357" s="110">
        <v>903</v>
      </c>
      <c r="C357" s="139" t="s">
        <v>43</v>
      </c>
      <c r="D357" s="139" t="s">
        <v>7</v>
      </c>
      <c r="E357" s="211">
        <v>1913846</v>
      </c>
      <c r="F357" s="211">
        <v>162399</v>
      </c>
      <c r="G357" s="211">
        <f t="shared" si="16"/>
        <v>1751447</v>
      </c>
      <c r="H357" s="139">
        <v>190144</v>
      </c>
      <c r="I357" s="139">
        <v>9167.0400000000009</v>
      </c>
      <c r="J357" s="139"/>
      <c r="K357" s="212">
        <f t="shared" si="15"/>
        <v>8.4854789779323939E-2</v>
      </c>
    </row>
    <row r="384" spans="5:5" x14ac:dyDescent="0.25">
      <c r="E384" s="192"/>
    </row>
  </sheetData>
  <autoFilter ref="A1:K357" xr:uid="{76BDC602-5E02-487D-B75A-4592E4304BC2}">
    <sortState xmlns:xlrd2="http://schemas.microsoft.com/office/spreadsheetml/2017/richdata2" ref="A2:K141">
      <sortCondition ref="C1:C139"/>
    </sortState>
  </autoFilter>
  <sortState xmlns:xlrd2="http://schemas.microsoft.com/office/spreadsheetml/2017/richdata2" ref="A2:K327">
    <sortCondition ref="C2:C327" customList="Commuter &amp; Express Bus,Core Local,Supporting Local,Urban Local,Suburban Local,BRT - Arterial,BRT - Highway,Light Rail,Commuter Rail,Commuter Vanpool,Vanpool,DIal-a-Ride - General Public,Dial-a-Ride - ADA"/>
    <sortCondition ref="D2:D327" customList="Weekday,Saturday,Sunday,Sunday/Holiday,Reduced"/>
    <sortCondition ref="B2:B327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596-25CA-46F0-A9BC-A12BF7DCE820}">
  <dimension ref="A1:N9"/>
  <sheetViews>
    <sheetView workbookViewId="0">
      <selection activeCell="C3" sqref="C3"/>
    </sheetView>
  </sheetViews>
  <sheetFormatPr defaultRowHeight="15" x14ac:dyDescent="0.25"/>
  <cols>
    <col min="1" max="1" width="22.42578125" bestFit="1" customWidth="1"/>
    <col min="2" max="2" width="16.28515625" bestFit="1" customWidth="1"/>
    <col min="3" max="3" width="23.5703125" bestFit="1" customWidth="1"/>
    <col min="4" max="4" width="14.28515625" bestFit="1" customWidth="1"/>
    <col min="5" max="5" width="19" bestFit="1" customWidth="1"/>
    <col min="6" max="6" width="11" bestFit="1" customWidth="1"/>
    <col min="7" max="7" width="9" bestFit="1" customWidth="1"/>
    <col min="8" max="8" width="25.5703125" bestFit="1" customWidth="1"/>
    <col min="9" max="9" width="12.28515625" bestFit="1" customWidth="1"/>
    <col min="10" max="10" width="10" bestFit="1" customWidth="1"/>
    <col min="11" max="11" width="8" bestFit="1" customWidth="1"/>
    <col min="12" max="12" width="14.42578125" bestFit="1" customWidth="1"/>
    <col min="13" max="13" width="15.7109375" bestFit="1" customWidth="1"/>
    <col min="14" max="14" width="12" bestFit="1" customWidth="1"/>
  </cols>
  <sheetData>
    <row r="1" spans="1:14" x14ac:dyDescent="0.25">
      <c r="A1" s="222" t="s">
        <v>137</v>
      </c>
      <c r="B1" s="222" t="s">
        <v>146</v>
      </c>
    </row>
    <row r="2" spans="1:14" x14ac:dyDescent="0.25">
      <c r="A2" s="222" t="s">
        <v>131</v>
      </c>
      <c r="B2" s="139" t="s">
        <v>144</v>
      </c>
      <c r="C2" s="139" t="s">
        <v>12</v>
      </c>
      <c r="D2" s="139" t="s">
        <v>23</v>
      </c>
      <c r="E2" s="139" t="s">
        <v>140</v>
      </c>
      <c r="F2" s="139" t="s">
        <v>24</v>
      </c>
      <c r="G2" s="139" t="s">
        <v>129</v>
      </c>
      <c r="H2" s="139" t="s">
        <v>128</v>
      </c>
      <c r="I2" s="139" t="s">
        <v>43</v>
      </c>
      <c r="J2" s="139" t="s">
        <v>22</v>
      </c>
      <c r="K2" s="139" t="s">
        <v>90</v>
      </c>
      <c r="L2" s="139" t="s">
        <v>20</v>
      </c>
      <c r="M2" s="139" t="s">
        <v>19</v>
      </c>
      <c r="N2" s="139" t="s">
        <v>132</v>
      </c>
    </row>
    <row r="3" spans="1:14" x14ac:dyDescent="0.25">
      <c r="A3" s="110" t="s">
        <v>11</v>
      </c>
      <c r="B3" s="111"/>
      <c r="C3" s="111">
        <v>18960.655999999999</v>
      </c>
      <c r="D3" s="111"/>
      <c r="E3" s="111"/>
      <c r="F3" s="111"/>
      <c r="G3" s="111"/>
      <c r="H3" s="111">
        <v>10913</v>
      </c>
      <c r="I3" s="111"/>
      <c r="J3" s="111"/>
      <c r="K3" s="111"/>
      <c r="L3" s="111">
        <v>718</v>
      </c>
      <c r="M3" s="111"/>
      <c r="N3" s="111">
        <v>30591.655999999999</v>
      </c>
    </row>
    <row r="4" spans="1:14" x14ac:dyDescent="0.25">
      <c r="A4" s="110" t="s">
        <v>18</v>
      </c>
      <c r="B4" s="111">
        <v>37722.410000000134</v>
      </c>
      <c r="C4" s="111">
        <v>251209.99999999971</v>
      </c>
      <c r="D4" s="111">
        <v>3191.08</v>
      </c>
      <c r="E4" s="111"/>
      <c r="F4" s="111">
        <v>1170470.7399999993</v>
      </c>
      <c r="G4" s="111"/>
      <c r="H4" s="111"/>
      <c r="I4" s="111"/>
      <c r="J4" s="111">
        <v>117620.73000000001</v>
      </c>
      <c r="K4" s="111"/>
      <c r="L4" s="111">
        <v>70523.539999999935</v>
      </c>
      <c r="M4" s="111">
        <v>99078.179999999833</v>
      </c>
      <c r="N4" s="111">
        <v>1749816.679999999</v>
      </c>
    </row>
    <row r="5" spans="1:14" x14ac:dyDescent="0.25">
      <c r="A5" s="110" t="s">
        <v>21</v>
      </c>
      <c r="B5" s="111"/>
      <c r="C5" s="111">
        <v>6891.4439999999995</v>
      </c>
      <c r="D5" s="111"/>
      <c r="E5" s="111">
        <v>31763</v>
      </c>
      <c r="F5" s="111"/>
      <c r="G5" s="111">
        <v>1158967</v>
      </c>
      <c r="H5" s="111">
        <v>109827</v>
      </c>
      <c r="I5" s="111">
        <v>12060</v>
      </c>
      <c r="J5" s="111"/>
      <c r="K5" s="111"/>
      <c r="L5" s="111">
        <v>103097.87900000002</v>
      </c>
      <c r="M5" s="111">
        <v>53368.447666666674</v>
      </c>
      <c r="N5" s="111">
        <v>1475974.7706666666</v>
      </c>
    </row>
    <row r="6" spans="1:14" x14ac:dyDescent="0.25">
      <c r="A6" s="110" t="s">
        <v>16</v>
      </c>
      <c r="B6" s="111"/>
      <c r="C6" s="111">
        <v>89648.272999999986</v>
      </c>
      <c r="D6" s="111"/>
      <c r="E6" s="111"/>
      <c r="F6" s="111"/>
      <c r="G6" s="111"/>
      <c r="H6" s="111"/>
      <c r="I6" s="111"/>
      <c r="J6" s="111"/>
      <c r="K6" s="111">
        <v>0</v>
      </c>
      <c r="L6" s="111">
        <v>64822.88499999998</v>
      </c>
      <c r="M6" s="111"/>
      <c r="N6" s="111">
        <v>154471.15799999997</v>
      </c>
    </row>
    <row r="7" spans="1:14" x14ac:dyDescent="0.25">
      <c r="A7" s="110" t="s">
        <v>14</v>
      </c>
      <c r="B7" s="111"/>
      <c r="C7" s="111">
        <v>22512.920000000002</v>
      </c>
      <c r="D7" s="111"/>
      <c r="E7" s="111"/>
      <c r="F7" s="111"/>
      <c r="G7" s="111"/>
      <c r="H7" s="111">
        <v>9422</v>
      </c>
      <c r="I7" s="111"/>
      <c r="J7" s="111"/>
      <c r="K7" s="111"/>
      <c r="L7" s="111">
        <v>3851.8999999999996</v>
      </c>
      <c r="M7" s="111"/>
      <c r="N7" s="111">
        <v>35786.82</v>
      </c>
    </row>
    <row r="8" spans="1:14" x14ac:dyDescent="0.25">
      <c r="A8" s="110" t="s">
        <v>122</v>
      </c>
      <c r="B8" s="111"/>
      <c r="C8" s="111">
        <v>33828.060000000005</v>
      </c>
      <c r="D8" s="111"/>
      <c r="E8" s="111"/>
      <c r="F8" s="111"/>
      <c r="G8" s="111"/>
      <c r="H8" s="111">
        <v>29509.040000000001</v>
      </c>
      <c r="I8" s="111"/>
      <c r="J8" s="111"/>
      <c r="K8" s="111">
        <v>2778.86</v>
      </c>
      <c r="L8" s="111">
        <v>3938.74</v>
      </c>
      <c r="M8" s="111"/>
      <c r="N8" s="111">
        <v>70054.700000000012</v>
      </c>
    </row>
    <row r="9" spans="1:14" x14ac:dyDescent="0.25">
      <c r="A9" s="110" t="s">
        <v>132</v>
      </c>
      <c r="B9" s="111">
        <v>37722.410000000134</v>
      </c>
      <c r="C9" s="111">
        <v>423051.35299999971</v>
      </c>
      <c r="D9" s="111">
        <v>3191.08</v>
      </c>
      <c r="E9" s="111">
        <v>31763</v>
      </c>
      <c r="F9" s="111">
        <v>1170470.7399999993</v>
      </c>
      <c r="G9" s="111">
        <v>1158967</v>
      </c>
      <c r="H9" s="111">
        <v>159671.04000000001</v>
      </c>
      <c r="I9" s="111">
        <v>12060</v>
      </c>
      <c r="J9" s="111">
        <v>117620.73000000001</v>
      </c>
      <c r="K9" s="111">
        <v>2778.86</v>
      </c>
      <c r="L9" s="111">
        <v>246952.9439999999</v>
      </c>
      <c r="M9" s="111">
        <v>152446.62766666652</v>
      </c>
      <c r="N9" s="111">
        <v>3516695.7846666654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F165"/>
  <sheetViews>
    <sheetView workbookViewId="0">
      <selection activeCell="J9" sqref="J9"/>
    </sheetView>
  </sheetViews>
  <sheetFormatPr defaultRowHeight="15" x14ac:dyDescent="0.25"/>
  <cols>
    <col min="1" max="1" width="13.140625" bestFit="1" customWidth="1"/>
    <col min="2" max="2" width="10.7109375" style="12" customWidth="1"/>
    <col min="3" max="3" width="9.5703125" style="12" customWidth="1"/>
    <col min="4" max="5" width="9.140625" style="12" customWidth="1"/>
    <col min="6" max="6" width="9.7109375" style="12" customWidth="1"/>
    <col min="7" max="7" width="10" style="12" customWidth="1"/>
    <col min="8" max="8" width="9.5703125" style="12" customWidth="1"/>
    <col min="9" max="9" width="9.28515625" style="12" customWidth="1"/>
    <col min="10" max="10" width="10.42578125" style="12" customWidth="1"/>
    <col min="11" max="11" width="9.28515625" style="12" customWidth="1"/>
    <col min="12" max="12" width="8.140625" style="12" customWidth="1"/>
    <col min="13" max="13" width="9.85546875" style="12" customWidth="1"/>
    <col min="14" max="14" width="6.140625" customWidth="1"/>
    <col min="15" max="15" width="3.7109375" customWidth="1"/>
    <col min="16" max="16" width="3.5703125" customWidth="1"/>
    <col min="17" max="17" width="15" style="12" customWidth="1"/>
    <col min="18" max="23" width="8.7109375" style="12" customWidth="1"/>
    <col min="24" max="24" width="11.140625" style="12" customWidth="1"/>
    <col min="25" max="29" width="8.7109375" style="12" customWidth="1"/>
    <col min="30" max="30" width="19.5703125" style="12" bestFit="1" customWidth="1"/>
    <col min="31" max="31" width="16.42578125" bestFit="1" customWidth="1"/>
    <col min="32" max="32" width="19.5703125" bestFit="1" customWidth="1"/>
    <col min="33" max="33" width="16.42578125" bestFit="1" customWidth="1"/>
    <col min="34" max="34" width="19.5703125" bestFit="1" customWidth="1"/>
    <col min="35" max="35" width="16.42578125" bestFit="1" customWidth="1"/>
    <col min="36" max="36" width="19.5703125" bestFit="1" customWidth="1"/>
    <col min="37" max="37" width="16.42578125" bestFit="1" customWidth="1"/>
    <col min="38" max="38" width="19.5703125" bestFit="1" customWidth="1"/>
    <col min="39" max="39" width="21.5703125" bestFit="1" customWidth="1"/>
    <col min="40" max="40" width="24.5703125" bestFit="1" customWidth="1"/>
    <col min="46" max="46" width="15.7109375" bestFit="1" customWidth="1"/>
    <col min="47" max="47" width="10.5703125" bestFit="1" customWidth="1"/>
  </cols>
  <sheetData>
    <row r="1" spans="1:58" x14ac:dyDescent="0.25"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</row>
    <row r="2" spans="1:58" ht="31.5" customHeight="1" x14ac:dyDescent="0.5">
      <c r="A2" s="297" t="s">
        <v>58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AE2" s="139"/>
    </row>
    <row r="3" spans="1:58" s="129" customFormat="1" ht="39" x14ac:dyDescent="0.25">
      <c r="A3" s="128" t="s">
        <v>10</v>
      </c>
      <c r="B3" s="127" t="s">
        <v>24</v>
      </c>
      <c r="C3" s="127" t="s">
        <v>19</v>
      </c>
      <c r="D3" s="127" t="s">
        <v>20</v>
      </c>
      <c r="E3" s="127" t="s">
        <v>55</v>
      </c>
      <c r="F3" s="127" t="s">
        <v>43</v>
      </c>
      <c r="G3" s="127" t="s">
        <v>22</v>
      </c>
      <c r="H3" s="127" t="s">
        <v>12</v>
      </c>
      <c r="I3" s="127" t="s">
        <v>23</v>
      </c>
      <c r="J3" s="127" t="s">
        <v>91</v>
      </c>
      <c r="K3" s="127" t="s">
        <v>92</v>
      </c>
      <c r="L3" s="127" t="s">
        <v>51</v>
      </c>
      <c r="M3" s="127" t="s">
        <v>50</v>
      </c>
      <c r="N3" s="126" t="s">
        <v>49</v>
      </c>
      <c r="O3"/>
    </row>
    <row r="4" spans="1:58" x14ac:dyDescent="0.25">
      <c r="A4" s="117" t="s">
        <v>11</v>
      </c>
      <c r="B4" s="125"/>
      <c r="C4" s="125"/>
      <c r="D4" s="125"/>
      <c r="E4" s="125"/>
      <c r="F4" s="125"/>
      <c r="G4" s="125"/>
      <c r="H4" s="125">
        <v>793767</v>
      </c>
      <c r="I4" s="125"/>
      <c r="J4" s="125">
        <v>39741</v>
      </c>
      <c r="K4" s="125"/>
      <c r="L4" s="125"/>
      <c r="M4" s="125">
        <f t="shared" ref="M4:M9" si="0">SUM(B4:L4)</f>
        <v>833508</v>
      </c>
      <c r="N4" s="124">
        <f>+M4/M10</f>
        <v>9.1890739376551296E-3</v>
      </c>
      <c r="O4" s="111"/>
      <c r="AD4" s="139"/>
    </row>
    <row r="5" spans="1:58" x14ac:dyDescent="0.25">
      <c r="A5" s="120" t="s">
        <v>18</v>
      </c>
      <c r="B5" s="119">
        <v>41668907</v>
      </c>
      <c r="C5" s="119">
        <v>2120711</v>
      </c>
      <c r="D5" s="119">
        <v>2077485</v>
      </c>
      <c r="E5" s="119">
        <v>1631686</v>
      </c>
      <c r="F5" s="119"/>
      <c r="G5" s="119">
        <v>23810995</v>
      </c>
      <c r="H5" s="119">
        <v>8450383</v>
      </c>
      <c r="I5" s="119">
        <v>793796</v>
      </c>
      <c r="J5" s="119"/>
      <c r="K5" s="119"/>
      <c r="L5" s="119"/>
      <c r="M5" s="119">
        <f t="shared" si="0"/>
        <v>80553963</v>
      </c>
      <c r="N5" s="118">
        <f>+M5/M10</f>
        <v>0.8880734461794435</v>
      </c>
      <c r="O5" s="130"/>
      <c r="AD5" s="139"/>
    </row>
    <row r="6" spans="1:58" x14ac:dyDescent="0.25">
      <c r="A6" s="123" t="s">
        <v>21</v>
      </c>
      <c r="B6" s="122"/>
      <c r="C6" s="122">
        <v>852727</v>
      </c>
      <c r="D6" s="122">
        <v>1292939</v>
      </c>
      <c r="E6" s="122"/>
      <c r="F6" s="122">
        <v>270400</v>
      </c>
      <c r="G6" s="122"/>
      <c r="H6" s="122">
        <v>97710</v>
      </c>
      <c r="I6" s="122"/>
      <c r="J6" s="122">
        <v>286325</v>
      </c>
      <c r="K6" s="122">
        <v>2256154</v>
      </c>
      <c r="L6" s="122">
        <v>149904</v>
      </c>
      <c r="M6" s="122">
        <f t="shared" si="0"/>
        <v>5206159</v>
      </c>
      <c r="N6" s="121">
        <f>+M6/M10</f>
        <v>5.7395705838682642E-2</v>
      </c>
      <c r="O6" s="111"/>
      <c r="AD6" s="139"/>
    </row>
    <row r="7" spans="1:58" x14ac:dyDescent="0.25">
      <c r="A7" s="120" t="s">
        <v>16</v>
      </c>
      <c r="B7" s="119"/>
      <c r="C7" s="119"/>
      <c r="D7" s="119">
        <v>626961</v>
      </c>
      <c r="E7" s="119"/>
      <c r="F7" s="119"/>
      <c r="G7" s="119"/>
      <c r="H7" s="119">
        <v>1939554</v>
      </c>
      <c r="I7" s="119"/>
      <c r="J7" s="119"/>
      <c r="K7" s="119"/>
      <c r="L7" s="119"/>
      <c r="M7" s="119">
        <f t="shared" si="0"/>
        <v>2566515</v>
      </c>
      <c r="N7" s="118">
        <f>+M7/M10</f>
        <v>2.8294744738024055E-2</v>
      </c>
      <c r="O7" s="111"/>
      <c r="AD7" s="139"/>
    </row>
    <row r="8" spans="1:58" x14ac:dyDescent="0.25">
      <c r="A8" s="123" t="s">
        <v>14</v>
      </c>
      <c r="B8" s="122"/>
      <c r="C8" s="122"/>
      <c r="D8" s="122"/>
      <c r="E8" s="122"/>
      <c r="F8" s="122"/>
      <c r="G8" s="122"/>
      <c r="H8" s="122">
        <v>486905</v>
      </c>
      <c r="I8" s="122"/>
      <c r="J8" s="122">
        <v>31026</v>
      </c>
      <c r="K8" s="122"/>
      <c r="L8" s="122"/>
      <c r="M8" s="122">
        <f t="shared" si="0"/>
        <v>517931</v>
      </c>
      <c r="N8" s="121">
        <f>+M8/M10</f>
        <v>5.7099706944668304E-3</v>
      </c>
      <c r="O8" s="111"/>
      <c r="AD8" s="139"/>
    </row>
    <row r="9" spans="1:58" x14ac:dyDescent="0.25">
      <c r="A9" s="120" t="s">
        <v>17</v>
      </c>
      <c r="B9" s="119"/>
      <c r="C9" s="119"/>
      <c r="D9" s="119">
        <v>22001</v>
      </c>
      <c r="E9" s="119"/>
      <c r="F9" s="119"/>
      <c r="G9" s="119"/>
      <c r="H9" s="119">
        <v>931812</v>
      </c>
      <c r="I9" s="119"/>
      <c r="J9" s="119">
        <v>74531</v>
      </c>
      <c r="K9" s="119"/>
      <c r="L9" s="119"/>
      <c r="M9" s="119">
        <f t="shared" si="0"/>
        <v>1028344</v>
      </c>
      <c r="N9" s="118">
        <f>+M9/M10</f>
        <v>1.1337058611727813E-2</v>
      </c>
      <c r="O9" s="111"/>
      <c r="AD9" s="139"/>
    </row>
    <row r="10" spans="1:58" x14ac:dyDescent="0.25">
      <c r="A10" s="117" t="s">
        <v>48</v>
      </c>
      <c r="B10" s="116">
        <f t="shared" ref="B10:M10" si="1">SUM(B4:B9)</f>
        <v>41668907</v>
      </c>
      <c r="C10" s="116">
        <f t="shared" si="1"/>
        <v>2973438</v>
      </c>
      <c r="D10" s="116">
        <f t="shared" si="1"/>
        <v>4019386</v>
      </c>
      <c r="E10" s="116">
        <f t="shared" si="1"/>
        <v>1631686</v>
      </c>
      <c r="F10" s="116">
        <f t="shared" si="1"/>
        <v>270400</v>
      </c>
      <c r="G10" s="116">
        <f t="shared" si="1"/>
        <v>23810995</v>
      </c>
      <c r="H10" s="116">
        <f t="shared" si="1"/>
        <v>12700131</v>
      </c>
      <c r="I10" s="116">
        <f t="shared" si="1"/>
        <v>793796</v>
      </c>
      <c r="J10" s="116">
        <f t="shared" si="1"/>
        <v>431623</v>
      </c>
      <c r="K10" s="116">
        <f t="shared" si="1"/>
        <v>2256154</v>
      </c>
      <c r="L10" s="116">
        <f t="shared" si="1"/>
        <v>149904</v>
      </c>
      <c r="M10" s="116">
        <f t="shared" si="1"/>
        <v>90706420</v>
      </c>
      <c r="N10" s="115">
        <f>SUM(N4:N9)</f>
        <v>1</v>
      </c>
      <c r="O10" s="131"/>
      <c r="AD10"/>
    </row>
    <row r="11" spans="1:58" x14ac:dyDescent="0.25">
      <c r="A11" s="114" t="s">
        <v>47</v>
      </c>
      <c r="B11" s="113">
        <f t="shared" ref="B11:L11" si="2">+B10/$M$10</f>
        <v>0.4593821142979736</v>
      </c>
      <c r="C11" s="113">
        <f t="shared" si="2"/>
        <v>3.2780899080792736E-2</v>
      </c>
      <c r="D11" s="113">
        <f t="shared" si="2"/>
        <v>4.4312034363168558E-2</v>
      </c>
      <c r="E11" s="113">
        <f t="shared" si="2"/>
        <v>1.7988649535501455E-2</v>
      </c>
      <c r="F11" s="113">
        <f t="shared" si="2"/>
        <v>2.9810458840730347E-3</v>
      </c>
      <c r="G11" s="113">
        <f t="shared" si="2"/>
        <v>0.26250617100752077</v>
      </c>
      <c r="H11" s="113">
        <f t="shared" si="2"/>
        <v>0.14001358448497911</v>
      </c>
      <c r="I11" s="113">
        <f t="shared" si="2"/>
        <v>8.7512658971658237E-3</v>
      </c>
      <c r="J11" s="113">
        <f t="shared" si="2"/>
        <v>4.7584614187176607E-3</v>
      </c>
      <c r="K11" s="113">
        <f t="shared" si="2"/>
        <v>2.4873145693546279E-2</v>
      </c>
      <c r="L11" s="113">
        <f t="shared" si="2"/>
        <v>1.6526283365609622E-3</v>
      </c>
      <c r="M11" s="113">
        <f>SUM(B11:L11)</f>
        <v>1</v>
      </c>
      <c r="N11" s="112"/>
      <c r="AD11"/>
    </row>
    <row r="12" spans="1:58" x14ac:dyDescent="0.25">
      <c r="AD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8" ht="31.5" x14ac:dyDescent="0.5">
      <c r="A13" s="297" t="s">
        <v>59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  <c r="S13"/>
      <c r="T13"/>
      <c r="U13"/>
      <c r="V13"/>
      <c r="W13"/>
      <c r="X13"/>
      <c r="Y13"/>
      <c r="Z13"/>
      <c r="AA13"/>
      <c r="AB13"/>
      <c r="AC13"/>
      <c r="AD13"/>
    </row>
    <row r="14" spans="1:58" ht="39" x14ac:dyDescent="0.25">
      <c r="A14" s="128" t="s">
        <v>10</v>
      </c>
      <c r="B14" s="127" t="s">
        <v>24</v>
      </c>
      <c r="C14" s="127" t="s">
        <v>19</v>
      </c>
      <c r="D14" s="127" t="s">
        <v>20</v>
      </c>
      <c r="E14" s="127" t="s">
        <v>55</v>
      </c>
      <c r="F14" s="127" t="s">
        <v>43</v>
      </c>
      <c r="G14" s="127" t="s">
        <v>22</v>
      </c>
      <c r="H14" s="127" t="s">
        <v>12</v>
      </c>
      <c r="I14" s="127" t="s">
        <v>23</v>
      </c>
      <c r="J14" s="127" t="s">
        <v>91</v>
      </c>
      <c r="K14" s="127" t="s">
        <v>92</v>
      </c>
      <c r="L14" s="127" t="s">
        <v>51</v>
      </c>
      <c r="M14" s="127" t="s">
        <v>50</v>
      </c>
      <c r="N14" s="126" t="s">
        <v>49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58" x14ac:dyDescent="0.25">
      <c r="A15" s="117" t="s">
        <v>11</v>
      </c>
      <c r="B15" s="125"/>
      <c r="C15" s="125"/>
      <c r="D15" s="125"/>
      <c r="E15" s="125"/>
      <c r="F15" s="125"/>
      <c r="G15" s="125"/>
      <c r="H15" s="125">
        <v>22485</v>
      </c>
      <c r="I15" s="125"/>
      <c r="J15" s="125">
        <v>11548</v>
      </c>
      <c r="K15" s="125"/>
      <c r="L15" s="125"/>
      <c r="M15" s="125">
        <f t="shared" ref="M15:M20" si="3">SUM(B15:L15)</f>
        <v>34033</v>
      </c>
      <c r="N15" s="124">
        <f>+M15/M21</f>
        <v>9.6338415541189892E-3</v>
      </c>
      <c r="P15" s="12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58" x14ac:dyDescent="0.25">
      <c r="A16" s="120" t="s">
        <v>18</v>
      </c>
      <c r="B16" s="119">
        <v>1181328</v>
      </c>
      <c r="C16" s="119">
        <v>103590</v>
      </c>
      <c r="D16" s="119">
        <v>67121</v>
      </c>
      <c r="E16" s="119">
        <v>37711</v>
      </c>
      <c r="F16" s="119"/>
      <c r="G16" s="119">
        <v>116628</v>
      </c>
      <c r="H16" s="119">
        <v>243394</v>
      </c>
      <c r="I16" s="119">
        <v>3186</v>
      </c>
      <c r="J16" s="119"/>
      <c r="K16" s="119"/>
      <c r="L16" s="119"/>
      <c r="M16" s="119">
        <f t="shared" si="3"/>
        <v>1752958</v>
      </c>
      <c r="N16" s="118">
        <f>+M16/M21</f>
        <v>0.49621601454545045</v>
      </c>
      <c r="P16" s="12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x14ac:dyDescent="0.25">
      <c r="A17" s="123" t="s">
        <v>21</v>
      </c>
      <c r="B17" s="122"/>
      <c r="C17" s="122">
        <v>55452</v>
      </c>
      <c r="D17" s="122">
        <v>104256</v>
      </c>
      <c r="E17" s="122"/>
      <c r="F17" s="122">
        <v>14641</v>
      </c>
      <c r="G17" s="122"/>
      <c r="H17" s="122">
        <v>6777</v>
      </c>
      <c r="I17" s="122"/>
      <c r="J17" s="122">
        <v>117772</v>
      </c>
      <c r="K17" s="122">
        <v>1153352</v>
      </c>
      <c r="L17" s="122">
        <v>35509</v>
      </c>
      <c r="M17" s="122">
        <f t="shared" si="3"/>
        <v>1487759</v>
      </c>
      <c r="N17" s="121">
        <f>+M17/M21</f>
        <v>0.42114519662429151</v>
      </c>
      <c r="P17" s="12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x14ac:dyDescent="0.25">
      <c r="A18" s="120" t="s">
        <v>16</v>
      </c>
      <c r="B18" s="119"/>
      <c r="C18" s="119"/>
      <c r="D18" s="119">
        <v>64682</v>
      </c>
      <c r="E18" s="119"/>
      <c r="F18" s="119"/>
      <c r="G18" s="119"/>
      <c r="H18" s="119">
        <v>87959</v>
      </c>
      <c r="I18" s="119"/>
      <c r="J18" s="119"/>
      <c r="K18" s="119"/>
      <c r="L18" s="119"/>
      <c r="M18" s="119">
        <f t="shared" si="3"/>
        <v>152641</v>
      </c>
      <c r="N18" s="118">
        <f>+M18/M21</f>
        <v>4.320862717545549E-2</v>
      </c>
      <c r="P18" s="12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x14ac:dyDescent="0.25">
      <c r="A19" s="123" t="s">
        <v>14</v>
      </c>
      <c r="B19" s="122"/>
      <c r="C19" s="122"/>
      <c r="D19" s="122"/>
      <c r="E19" s="122"/>
      <c r="F19" s="122"/>
      <c r="G19" s="122"/>
      <c r="H19" s="122">
        <v>26423</v>
      </c>
      <c r="I19" s="122"/>
      <c r="J19" s="122">
        <v>10773</v>
      </c>
      <c r="K19" s="122"/>
      <c r="L19" s="122"/>
      <c r="M19" s="122">
        <f t="shared" si="3"/>
        <v>37196</v>
      </c>
      <c r="N19" s="121">
        <f>+M19/M21</f>
        <v>1.0529203139511941E-2</v>
      </c>
      <c r="P19" s="12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x14ac:dyDescent="0.25">
      <c r="A20" s="120" t="s">
        <v>17</v>
      </c>
      <c r="B20" s="119"/>
      <c r="C20" s="119"/>
      <c r="D20" s="119">
        <v>3236</v>
      </c>
      <c r="E20" s="119"/>
      <c r="F20" s="119"/>
      <c r="G20" s="119"/>
      <c r="H20" s="119">
        <v>40528</v>
      </c>
      <c r="I20" s="119"/>
      <c r="J20" s="119">
        <v>24300</v>
      </c>
      <c r="K20" s="119"/>
      <c r="L20" s="119"/>
      <c r="M20" s="119">
        <f t="shared" si="3"/>
        <v>68064</v>
      </c>
      <c r="N20" s="118">
        <f>+M20/M21</f>
        <v>1.9267116961171653E-2</v>
      </c>
      <c r="P20" s="12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x14ac:dyDescent="0.25">
      <c r="A21" s="117" t="s">
        <v>48</v>
      </c>
      <c r="B21" s="116">
        <f t="shared" ref="B21:N21" si="4">SUM(B15:B20)</f>
        <v>1181328</v>
      </c>
      <c r="C21" s="116">
        <f t="shared" si="4"/>
        <v>159042</v>
      </c>
      <c r="D21" s="116">
        <f t="shared" si="4"/>
        <v>239295</v>
      </c>
      <c r="E21" s="116">
        <f t="shared" si="4"/>
        <v>37711</v>
      </c>
      <c r="F21" s="116">
        <f t="shared" si="4"/>
        <v>14641</v>
      </c>
      <c r="G21" s="116">
        <f t="shared" si="4"/>
        <v>116628</v>
      </c>
      <c r="H21" s="116">
        <f t="shared" si="4"/>
        <v>427566</v>
      </c>
      <c r="I21" s="116">
        <f t="shared" si="4"/>
        <v>3186</v>
      </c>
      <c r="J21" s="116">
        <f t="shared" si="4"/>
        <v>164393</v>
      </c>
      <c r="K21" s="116">
        <f t="shared" si="4"/>
        <v>1153352</v>
      </c>
      <c r="L21" s="116">
        <f t="shared" si="4"/>
        <v>35509</v>
      </c>
      <c r="M21" s="116">
        <f t="shared" si="4"/>
        <v>3532651</v>
      </c>
      <c r="N21" s="115">
        <f t="shared" si="4"/>
        <v>1</v>
      </c>
      <c r="P21" s="12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x14ac:dyDescent="0.25">
      <c r="A22" s="114" t="s">
        <v>47</v>
      </c>
      <c r="B22" s="113">
        <f t="shared" ref="B22:L22" si="5">+B21/$M$21</f>
        <v>0.33440269078377682</v>
      </c>
      <c r="C22" s="113">
        <f t="shared" si="5"/>
        <v>4.5020580861228579E-2</v>
      </c>
      <c r="D22" s="113">
        <f t="shared" si="5"/>
        <v>6.7738081118117813E-2</v>
      </c>
      <c r="E22" s="113">
        <f t="shared" si="5"/>
        <v>1.0674986009090623E-2</v>
      </c>
      <c r="F22" s="113">
        <f t="shared" si="5"/>
        <v>4.1444795990320015E-3</v>
      </c>
      <c r="G22" s="113">
        <f t="shared" si="5"/>
        <v>3.3014300025674771E-2</v>
      </c>
      <c r="H22" s="113">
        <f t="shared" si="5"/>
        <v>0.12103261828015278</v>
      </c>
      <c r="I22" s="113">
        <f t="shared" si="5"/>
        <v>9.0187227665569007E-4</v>
      </c>
      <c r="J22" s="113">
        <f t="shared" si="5"/>
        <v>4.6535307337181059E-2</v>
      </c>
      <c r="K22" s="113">
        <f t="shared" si="5"/>
        <v>0.32648342562002303</v>
      </c>
      <c r="L22" s="113">
        <f t="shared" si="5"/>
        <v>1.0051658089066823E-2</v>
      </c>
      <c r="M22" s="113">
        <f>SUM(B22:L22)</f>
        <v>1</v>
      </c>
      <c r="N22" s="112"/>
      <c r="P22" s="1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x14ac:dyDescent="0.25">
      <c r="P23" s="12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31.5" x14ac:dyDescent="0.5">
      <c r="A24" s="297" t="s">
        <v>60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9"/>
      <c r="P24" s="12"/>
      <c r="Q24" s="111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39" x14ac:dyDescent="0.25">
      <c r="A25" s="128" t="s">
        <v>10</v>
      </c>
      <c r="B25" s="127" t="s">
        <v>24</v>
      </c>
      <c r="C25" s="127" t="s">
        <v>19</v>
      </c>
      <c r="D25" s="127" t="s">
        <v>20</v>
      </c>
      <c r="E25" s="127" t="s">
        <v>55</v>
      </c>
      <c r="F25" s="127" t="s">
        <v>43</v>
      </c>
      <c r="G25" s="127" t="s">
        <v>22</v>
      </c>
      <c r="H25" s="127" t="s">
        <v>12</v>
      </c>
      <c r="I25" s="127" t="s">
        <v>23</v>
      </c>
      <c r="J25" s="127" t="s">
        <v>91</v>
      </c>
      <c r="K25" s="127" t="s">
        <v>92</v>
      </c>
      <c r="L25" s="127" t="s">
        <v>51</v>
      </c>
      <c r="M25" s="127" t="s">
        <v>50</v>
      </c>
      <c r="N25" s="126" t="s">
        <v>49</v>
      </c>
      <c r="P25" s="12"/>
      <c r="Q25" s="111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x14ac:dyDescent="0.25">
      <c r="A26" s="117" t="s">
        <v>11</v>
      </c>
      <c r="B26" s="125"/>
      <c r="C26" s="125"/>
      <c r="D26" s="125"/>
      <c r="E26" s="125"/>
      <c r="F26" s="125"/>
      <c r="G26" s="125"/>
      <c r="H26" s="125">
        <v>4470542</v>
      </c>
      <c r="I26" s="125"/>
      <c r="J26" s="125">
        <v>757688</v>
      </c>
      <c r="K26" s="125"/>
      <c r="L26" s="125"/>
      <c r="M26" s="125">
        <f t="shared" ref="M26:M31" si="6">SUM(B26:L26)</f>
        <v>5228230</v>
      </c>
      <c r="N26" s="124">
        <f>+M26/M32</f>
        <v>1.0363802218985118E-2</v>
      </c>
      <c r="P26" s="12"/>
      <c r="Q26"/>
      <c r="R26"/>
      <c r="S26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/>
    </row>
    <row r="27" spans="1:30" x14ac:dyDescent="0.25">
      <c r="A27" s="120" t="s">
        <v>18</v>
      </c>
      <c r="B27" s="119">
        <v>195080658</v>
      </c>
      <c r="C27" s="119">
        <v>18195371</v>
      </c>
      <c r="D27" s="119">
        <v>12252405</v>
      </c>
      <c r="E27" s="119">
        <v>7564075</v>
      </c>
      <c r="F27" s="119"/>
      <c r="G27" s="119">
        <v>70946842</v>
      </c>
      <c r="H27" s="119">
        <v>52237760</v>
      </c>
      <c r="I27" s="119">
        <v>15337874</v>
      </c>
      <c r="J27" s="119"/>
      <c r="K27" s="119"/>
      <c r="L27" s="119"/>
      <c r="M27" s="119">
        <f t="shared" si="6"/>
        <v>371614985</v>
      </c>
      <c r="N27" s="118">
        <f>+M27/M32</f>
        <v>0.73664398967740929</v>
      </c>
      <c r="Q27"/>
      <c r="R27"/>
      <c r="S27"/>
      <c r="AD27"/>
    </row>
    <row r="28" spans="1:30" x14ac:dyDescent="0.25">
      <c r="A28" s="123" t="s">
        <v>21</v>
      </c>
      <c r="B28" s="122"/>
      <c r="C28" s="122">
        <v>3978056</v>
      </c>
      <c r="D28" s="122">
        <v>7801696</v>
      </c>
      <c r="E28" s="122"/>
      <c r="F28" s="122">
        <v>3024449</v>
      </c>
      <c r="G28" s="122"/>
      <c r="H28" s="122">
        <v>1126517</v>
      </c>
      <c r="I28" s="122"/>
      <c r="J28" s="122">
        <v>6436951</v>
      </c>
      <c r="K28" s="122">
        <v>64200843</v>
      </c>
      <c r="L28" s="122">
        <v>985014</v>
      </c>
      <c r="M28" s="122">
        <f t="shared" si="6"/>
        <v>87553526</v>
      </c>
      <c r="N28" s="121">
        <f>+M28/M32</f>
        <v>0.17355537668365228</v>
      </c>
      <c r="Q28"/>
      <c r="R28"/>
      <c r="S28"/>
      <c r="AD28"/>
    </row>
    <row r="29" spans="1:30" x14ac:dyDescent="0.25">
      <c r="A29" s="120" t="s">
        <v>16</v>
      </c>
      <c r="B29" s="119"/>
      <c r="C29" s="119"/>
      <c r="D29" s="119">
        <v>8274694</v>
      </c>
      <c r="E29" s="119"/>
      <c r="F29" s="119"/>
      <c r="G29" s="119"/>
      <c r="H29" s="119">
        <v>17197626</v>
      </c>
      <c r="I29" s="119"/>
      <c r="J29" s="119"/>
      <c r="K29" s="119"/>
      <c r="L29" s="119"/>
      <c r="M29" s="119">
        <f t="shared" si="6"/>
        <v>25472320</v>
      </c>
      <c r="N29" s="118">
        <f>+M29/M32</f>
        <v>5.0493204495345279E-2</v>
      </c>
      <c r="Q29"/>
      <c r="R29"/>
      <c r="S29"/>
      <c r="AD29"/>
    </row>
    <row r="30" spans="1:30" x14ac:dyDescent="0.25">
      <c r="A30" s="123" t="s">
        <v>14</v>
      </c>
      <c r="B30" s="122"/>
      <c r="C30" s="122"/>
      <c r="D30" s="122"/>
      <c r="E30" s="122"/>
      <c r="F30" s="122"/>
      <c r="G30" s="122"/>
      <c r="H30" s="122">
        <v>3270319</v>
      </c>
      <c r="I30" s="122"/>
      <c r="J30" s="122">
        <v>1232818</v>
      </c>
      <c r="K30" s="122"/>
      <c r="L30" s="122"/>
      <c r="M30" s="122">
        <f t="shared" si="6"/>
        <v>4503137</v>
      </c>
      <c r="N30" s="121">
        <f>+M30/M32</f>
        <v>8.9264667455322341E-3</v>
      </c>
      <c r="Q30"/>
      <c r="R30"/>
      <c r="S30"/>
      <c r="AD30"/>
    </row>
    <row r="31" spans="1:30" x14ac:dyDescent="0.25">
      <c r="A31" s="120" t="s">
        <v>17</v>
      </c>
      <c r="B31" s="119"/>
      <c r="C31" s="119"/>
      <c r="D31" s="119">
        <v>609312</v>
      </c>
      <c r="E31" s="119"/>
      <c r="F31" s="119"/>
      <c r="G31" s="119"/>
      <c r="H31" s="119">
        <v>8658773</v>
      </c>
      <c r="I31" s="119"/>
      <c r="J31" s="119">
        <v>829977</v>
      </c>
      <c r="K31" s="119"/>
      <c r="L31" s="119"/>
      <c r="M31" s="119">
        <f t="shared" si="6"/>
        <v>10098062</v>
      </c>
      <c r="N31" s="118">
        <f>+M31/M32</f>
        <v>2.0017160179075771E-2</v>
      </c>
      <c r="Q31"/>
      <c r="R31"/>
      <c r="S31"/>
      <c r="AD31"/>
    </row>
    <row r="32" spans="1:30" x14ac:dyDescent="0.25">
      <c r="A32" s="117" t="s">
        <v>48</v>
      </c>
      <c r="B32" s="116">
        <f t="shared" ref="B32:N32" si="7">SUM(B26:B31)</f>
        <v>195080658</v>
      </c>
      <c r="C32" s="116">
        <f t="shared" si="7"/>
        <v>22173427</v>
      </c>
      <c r="D32" s="116">
        <f t="shared" si="7"/>
        <v>28938107</v>
      </c>
      <c r="E32" s="116">
        <f>SUM(E26:E31)</f>
        <v>7564075</v>
      </c>
      <c r="F32" s="116">
        <f t="shared" si="7"/>
        <v>3024449</v>
      </c>
      <c r="G32" s="116">
        <f t="shared" si="7"/>
        <v>70946842</v>
      </c>
      <c r="H32" s="116">
        <f t="shared" si="7"/>
        <v>86961537</v>
      </c>
      <c r="I32" s="116">
        <f t="shared" si="7"/>
        <v>15337874</v>
      </c>
      <c r="J32" s="116">
        <f t="shared" si="7"/>
        <v>9257434</v>
      </c>
      <c r="K32" s="116">
        <f t="shared" si="7"/>
        <v>64200843</v>
      </c>
      <c r="L32" s="116">
        <f t="shared" si="7"/>
        <v>985014</v>
      </c>
      <c r="M32" s="116">
        <f t="shared" si="7"/>
        <v>504470260</v>
      </c>
      <c r="N32" s="115">
        <f t="shared" si="7"/>
        <v>1</v>
      </c>
      <c r="AD32"/>
    </row>
    <row r="33" spans="1:30" x14ac:dyDescent="0.25">
      <c r="A33" s="114" t="s">
        <v>47</v>
      </c>
      <c r="B33" s="113">
        <f t="shared" ref="B33:L33" si="8">+B32/$M$32</f>
        <v>0.38670398132092071</v>
      </c>
      <c r="C33" s="113">
        <f t="shared" si="8"/>
        <v>4.3953883426150829E-2</v>
      </c>
      <c r="D33" s="113">
        <f t="shared" si="8"/>
        <v>5.7363355770467021E-2</v>
      </c>
      <c r="E33" s="113">
        <f t="shared" si="8"/>
        <v>1.4994094993825801E-2</v>
      </c>
      <c r="F33" s="113">
        <f t="shared" si="8"/>
        <v>5.995296927910081E-3</v>
      </c>
      <c r="G33" s="113">
        <f t="shared" si="8"/>
        <v>0.14063632214909955</v>
      </c>
      <c r="H33" s="113">
        <f t="shared" si="8"/>
        <v>0.17238189026247058</v>
      </c>
      <c r="I33" s="113">
        <f t="shared" si="8"/>
        <v>3.0403921135013983E-2</v>
      </c>
      <c r="J33" s="113">
        <f t="shared" si="8"/>
        <v>1.8350802285153539E-2</v>
      </c>
      <c r="K33" s="113">
        <f t="shared" si="8"/>
        <v>0.12726388072906419</v>
      </c>
      <c r="L33" s="113">
        <f t="shared" si="8"/>
        <v>1.9525709999237617E-3</v>
      </c>
      <c r="M33" s="113">
        <f>SUM(B33:L33)</f>
        <v>1</v>
      </c>
      <c r="N33" s="112"/>
      <c r="AD33"/>
    </row>
    <row r="34" spans="1:30" x14ac:dyDescent="0.25">
      <c r="AD34"/>
    </row>
    <row r="35" spans="1:30" ht="31.5" x14ac:dyDescent="0.5">
      <c r="A35" s="297" t="s">
        <v>93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9"/>
      <c r="P35" s="12"/>
      <c r="AB35"/>
      <c r="AC35" s="139"/>
      <c r="AD35"/>
    </row>
    <row r="36" spans="1:30" ht="39" x14ac:dyDescent="0.25">
      <c r="A36" s="128" t="s">
        <v>10</v>
      </c>
      <c r="B36" s="127" t="s">
        <v>24</v>
      </c>
      <c r="C36" s="127" t="s">
        <v>19</v>
      </c>
      <c r="D36" s="127" t="s">
        <v>20</v>
      </c>
      <c r="E36" s="127" t="s">
        <v>55</v>
      </c>
      <c r="F36" s="127" t="s">
        <v>43</v>
      </c>
      <c r="G36" s="127" t="s">
        <v>22</v>
      </c>
      <c r="H36" s="127" t="s">
        <v>12</v>
      </c>
      <c r="I36" s="127" t="s">
        <v>23</v>
      </c>
      <c r="J36" s="127" t="s">
        <v>91</v>
      </c>
      <c r="K36" s="127" t="s">
        <v>92</v>
      </c>
      <c r="L36" s="127" t="s">
        <v>51</v>
      </c>
      <c r="M36" s="127" t="s">
        <v>50</v>
      </c>
      <c r="N36" s="126" t="s">
        <v>49</v>
      </c>
      <c r="P36" s="12"/>
      <c r="AB36"/>
      <c r="AC36" s="139"/>
      <c r="AD36"/>
    </row>
    <row r="37" spans="1:30" x14ac:dyDescent="0.25">
      <c r="A37" s="117" t="s">
        <v>11</v>
      </c>
      <c r="B37" s="125"/>
      <c r="C37" s="125"/>
      <c r="D37" s="125"/>
      <c r="E37" s="125"/>
      <c r="F37" s="125"/>
      <c r="G37" s="125"/>
      <c r="H37" s="125">
        <v>2448567</v>
      </c>
      <c r="I37" s="125"/>
      <c r="J37" s="125">
        <v>711419</v>
      </c>
      <c r="K37" s="125"/>
      <c r="L37" s="125"/>
      <c r="M37" s="125">
        <f t="shared" ref="M37:M42" si="9">SUM(B37:L37)</f>
        <v>3159986</v>
      </c>
      <c r="N37" s="124">
        <f>+M37/M43</f>
        <v>7.9419205381091196E-3</v>
      </c>
      <c r="P37" s="12"/>
      <c r="AB37"/>
      <c r="AC37" s="139"/>
      <c r="AD37"/>
    </row>
    <row r="38" spans="1:30" x14ac:dyDescent="0.25">
      <c r="A38" s="120" t="s">
        <v>18</v>
      </c>
      <c r="B38" s="119">
        <v>159084475</v>
      </c>
      <c r="C38" s="119">
        <v>16453024</v>
      </c>
      <c r="D38" s="119">
        <v>10485346</v>
      </c>
      <c r="E38" s="119">
        <v>6059558</v>
      </c>
      <c r="F38" s="119"/>
      <c r="G38" s="119">
        <v>46802493</v>
      </c>
      <c r="H38" s="119">
        <v>34719814</v>
      </c>
      <c r="I38" s="119">
        <v>12820975</v>
      </c>
      <c r="J38" s="119"/>
      <c r="K38" s="119"/>
      <c r="L38" s="119"/>
      <c r="M38" s="119">
        <f t="shared" si="9"/>
        <v>286425685</v>
      </c>
      <c r="N38" s="118">
        <f>+M38/M43</f>
        <v>0.71986712293771982</v>
      </c>
      <c r="P38" s="12"/>
      <c r="AB38"/>
      <c r="AC38" s="139"/>
      <c r="AD38"/>
    </row>
    <row r="39" spans="1:30" x14ac:dyDescent="0.25">
      <c r="A39" s="123" t="s">
        <v>21</v>
      </c>
      <c r="B39" s="122"/>
      <c r="C39" s="122">
        <v>2947650</v>
      </c>
      <c r="D39" s="122">
        <v>5992700</v>
      </c>
      <c r="E39" s="122"/>
      <c r="F39" s="122">
        <v>2826921</v>
      </c>
      <c r="G39" s="122"/>
      <c r="H39" s="122">
        <v>879046</v>
      </c>
      <c r="I39" s="122"/>
      <c r="J39" s="122">
        <v>5577538</v>
      </c>
      <c r="K39" s="122">
        <v>58484124</v>
      </c>
      <c r="L39" s="122">
        <v>338875</v>
      </c>
      <c r="M39" s="122">
        <f t="shared" si="9"/>
        <v>77046854</v>
      </c>
      <c r="N39" s="121">
        <f>+M39/M43</f>
        <v>0.1936400959305816</v>
      </c>
      <c r="P39" s="12"/>
      <c r="AB39"/>
      <c r="AC39" s="139"/>
      <c r="AD39"/>
    </row>
    <row r="40" spans="1:30" x14ac:dyDescent="0.25">
      <c r="A40" s="120" t="s">
        <v>16</v>
      </c>
      <c r="B40" s="119"/>
      <c r="C40" s="119"/>
      <c r="D40" s="119">
        <v>7641969</v>
      </c>
      <c r="E40" s="119"/>
      <c r="F40" s="119"/>
      <c r="G40" s="119"/>
      <c r="H40" s="119">
        <v>12615984</v>
      </c>
      <c r="I40" s="119"/>
      <c r="J40" s="119"/>
      <c r="K40" s="119"/>
      <c r="L40" s="119"/>
      <c r="M40" s="119">
        <f t="shared" si="9"/>
        <v>20257953</v>
      </c>
      <c r="N40" s="118">
        <f>+M40/M43</f>
        <v>5.0913849931850733E-2</v>
      </c>
      <c r="P40" s="12"/>
      <c r="AD40"/>
    </row>
    <row r="41" spans="1:30" x14ac:dyDescent="0.25">
      <c r="A41" s="123" t="s">
        <v>14</v>
      </c>
      <c r="B41" s="122"/>
      <c r="C41" s="122"/>
      <c r="D41" s="122"/>
      <c r="E41" s="122"/>
      <c r="F41" s="122"/>
      <c r="G41" s="122"/>
      <c r="H41" s="122">
        <v>2287190</v>
      </c>
      <c r="I41" s="122"/>
      <c r="J41" s="122">
        <v>1161274</v>
      </c>
      <c r="K41" s="122"/>
      <c r="L41" s="122"/>
      <c r="M41" s="122">
        <f t="shared" si="9"/>
        <v>3448464</v>
      </c>
      <c r="N41" s="121">
        <f>+M41/M43</f>
        <v>8.6669456973954718E-3</v>
      </c>
      <c r="P41" s="12"/>
      <c r="AD41"/>
    </row>
    <row r="42" spans="1:30" x14ac:dyDescent="0.25">
      <c r="A42" s="120" t="s">
        <v>17</v>
      </c>
      <c r="B42" s="119"/>
      <c r="C42" s="119"/>
      <c r="D42" s="119">
        <v>564063</v>
      </c>
      <c r="E42" s="119"/>
      <c r="F42" s="119"/>
      <c r="G42" s="119"/>
      <c r="H42" s="119">
        <v>6334892</v>
      </c>
      <c r="I42" s="119"/>
      <c r="J42" s="119">
        <v>648985</v>
      </c>
      <c r="K42" s="119"/>
      <c r="L42" s="119"/>
      <c r="M42" s="119">
        <f t="shared" si="9"/>
        <v>7547940</v>
      </c>
      <c r="N42" s="118">
        <f>+M42/M43</f>
        <v>1.8970064964343308E-2</v>
      </c>
      <c r="P42" s="12"/>
      <c r="AD42"/>
    </row>
    <row r="43" spans="1:30" x14ac:dyDescent="0.25">
      <c r="A43" s="117" t="s">
        <v>48</v>
      </c>
      <c r="B43" s="116">
        <f t="shared" ref="B43:N43" si="10">SUM(B37:B42)</f>
        <v>159084475</v>
      </c>
      <c r="C43" s="116">
        <f t="shared" si="10"/>
        <v>19400674</v>
      </c>
      <c r="D43" s="116">
        <f t="shared" si="10"/>
        <v>24684078</v>
      </c>
      <c r="E43" s="116">
        <f>SUM(E37:E42)</f>
        <v>6059558</v>
      </c>
      <c r="F43" s="116">
        <f t="shared" si="10"/>
        <v>2826921</v>
      </c>
      <c r="G43" s="116">
        <f t="shared" si="10"/>
        <v>46802493</v>
      </c>
      <c r="H43" s="116">
        <f t="shared" si="10"/>
        <v>59285493</v>
      </c>
      <c r="I43" s="116">
        <f t="shared" si="10"/>
        <v>12820975</v>
      </c>
      <c r="J43" s="116">
        <f t="shared" si="10"/>
        <v>8099216</v>
      </c>
      <c r="K43" s="116">
        <f t="shared" si="10"/>
        <v>58484124</v>
      </c>
      <c r="L43" s="116">
        <f t="shared" si="10"/>
        <v>338875</v>
      </c>
      <c r="M43" s="116">
        <f t="shared" si="10"/>
        <v>397886882</v>
      </c>
      <c r="N43" s="115">
        <f t="shared" si="10"/>
        <v>1.0000000000000002</v>
      </c>
    </row>
    <row r="44" spans="1:30" x14ac:dyDescent="0.25">
      <c r="A44" s="114" t="s">
        <v>47</v>
      </c>
      <c r="B44" s="113">
        <f>+B43/$M$43</f>
        <v>0.39982337241266475</v>
      </c>
      <c r="C44" s="113">
        <f>+C43/$M$43</f>
        <v>4.8759270228969247E-2</v>
      </c>
      <c r="D44" s="113">
        <f>+D43/$M$43</f>
        <v>6.2037928659331873E-2</v>
      </c>
      <c r="E44" s="113">
        <f>+E43/$M$43</f>
        <v>1.5229348526247719E-2</v>
      </c>
      <c r="F44" s="113">
        <f t="shared" ref="F44:L44" si="11">+F43/$M$43</f>
        <v>7.104835891523561E-3</v>
      </c>
      <c r="G44" s="113">
        <f t="shared" si="11"/>
        <v>0.11762763518300662</v>
      </c>
      <c r="H44" s="113">
        <f t="shared" si="11"/>
        <v>0.14900087356989064</v>
      </c>
      <c r="I44" s="113">
        <f t="shared" si="11"/>
        <v>3.2222663224167315E-2</v>
      </c>
      <c r="J44" s="113">
        <f t="shared" si="11"/>
        <v>2.0355574326272965E-2</v>
      </c>
      <c r="K44" s="113">
        <f t="shared" si="11"/>
        <v>0.14698681119122695</v>
      </c>
      <c r="L44" s="113">
        <f t="shared" si="11"/>
        <v>8.5168678669833608E-4</v>
      </c>
      <c r="M44" s="113">
        <f>SUM(B44:L44)</f>
        <v>0.99999999999999989</v>
      </c>
      <c r="N44" s="112"/>
    </row>
    <row r="45" spans="1:30" x14ac:dyDescent="0.25">
      <c r="A45" s="12"/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/>
    </row>
    <row r="46" spans="1:30" ht="31.5" x14ac:dyDescent="0.5">
      <c r="A46" s="297" t="s">
        <v>61</v>
      </c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9"/>
    </row>
    <row r="47" spans="1:30" ht="39" x14ac:dyDescent="0.25">
      <c r="A47" s="177" t="s">
        <v>10</v>
      </c>
      <c r="B47" s="127" t="s">
        <v>24</v>
      </c>
      <c r="C47" s="127" t="s">
        <v>19</v>
      </c>
      <c r="D47" s="127" t="s">
        <v>20</v>
      </c>
      <c r="E47" s="127" t="s">
        <v>55</v>
      </c>
      <c r="F47" s="127" t="s">
        <v>43</v>
      </c>
      <c r="G47" s="127" t="s">
        <v>22</v>
      </c>
      <c r="H47" s="127" t="s">
        <v>12</v>
      </c>
      <c r="I47" s="127" t="s">
        <v>23</v>
      </c>
      <c r="J47" s="127" t="s">
        <v>91</v>
      </c>
      <c r="K47" s="127" t="s">
        <v>92</v>
      </c>
      <c r="L47" s="127" t="s">
        <v>51</v>
      </c>
      <c r="M47" s="133" t="s">
        <v>50</v>
      </c>
    </row>
    <row r="48" spans="1:30" x14ac:dyDescent="0.25">
      <c r="A48" s="178" t="s">
        <v>11</v>
      </c>
      <c r="B48" s="125"/>
      <c r="C48" s="125"/>
      <c r="D48" s="125"/>
      <c r="E48" s="125"/>
      <c r="F48" s="125"/>
      <c r="G48" s="125"/>
      <c r="H48" s="179">
        <f t="shared" ref="H48:H54" si="12">+H37/H4</f>
        <v>3.0847427519662571</v>
      </c>
      <c r="I48" s="125"/>
      <c r="J48" s="179">
        <f>+J37/J4</f>
        <v>17.901386477441434</v>
      </c>
      <c r="K48" s="125"/>
      <c r="L48" s="125"/>
      <c r="M48" s="180">
        <f t="shared" ref="M48:M54" si="13">+M37/M4</f>
        <v>3.7911885668763827</v>
      </c>
    </row>
    <row r="49" spans="1:13" x14ac:dyDescent="0.25">
      <c r="A49" s="181" t="s">
        <v>18</v>
      </c>
      <c r="B49" s="182">
        <f>+B38/B5</f>
        <v>3.8178221233400724</v>
      </c>
      <c r="C49" s="182">
        <f>+C38/C5</f>
        <v>7.758258433138697</v>
      </c>
      <c r="D49" s="182">
        <f>+D38/D5</f>
        <v>5.0471343956755401</v>
      </c>
      <c r="E49" s="182">
        <f>+E38/E5</f>
        <v>3.7136789799017702</v>
      </c>
      <c r="F49" s="182"/>
      <c r="G49" s="182">
        <f>+G38/G5</f>
        <v>1.9655832526108212</v>
      </c>
      <c r="H49" s="182">
        <f t="shared" si="12"/>
        <v>4.1086675006328113</v>
      </c>
      <c r="I49" s="182">
        <f>+I38/I5</f>
        <v>16.151473426421902</v>
      </c>
      <c r="J49" s="119"/>
      <c r="K49" s="119"/>
      <c r="L49" s="119"/>
      <c r="M49" s="183">
        <f t="shared" si="13"/>
        <v>3.555699488056224</v>
      </c>
    </row>
    <row r="50" spans="1:13" x14ac:dyDescent="0.25">
      <c r="A50" s="184" t="s">
        <v>21</v>
      </c>
      <c r="B50" s="122"/>
      <c r="C50" s="179">
        <f>+C39/C6</f>
        <v>3.4567335149467531</v>
      </c>
      <c r="D50" s="179">
        <f>+D39/D6</f>
        <v>4.6349441079586891</v>
      </c>
      <c r="E50" s="179"/>
      <c r="F50" s="179">
        <f>+F39/F6</f>
        <v>10.45458949704142</v>
      </c>
      <c r="G50" s="122"/>
      <c r="H50" s="179">
        <f t="shared" si="12"/>
        <v>8.9964793777504859</v>
      </c>
      <c r="I50" s="122"/>
      <c r="J50" s="179">
        <f>+J39/J6</f>
        <v>19.479745044966386</v>
      </c>
      <c r="K50" s="179">
        <f>+K39/K6</f>
        <v>25.922044328534312</v>
      </c>
      <c r="L50" s="179">
        <f>+L39/L6</f>
        <v>2.2606134592806062</v>
      </c>
      <c r="M50" s="180">
        <f t="shared" si="13"/>
        <v>14.79917420885532</v>
      </c>
    </row>
    <row r="51" spans="1:13" x14ac:dyDescent="0.25">
      <c r="A51" s="181" t="s">
        <v>16</v>
      </c>
      <c r="B51" s="119"/>
      <c r="C51" s="119"/>
      <c r="D51" s="182">
        <f>+D40/D7</f>
        <v>12.188906487006369</v>
      </c>
      <c r="E51" s="182"/>
      <c r="F51" s="119"/>
      <c r="G51" s="119"/>
      <c r="H51" s="182">
        <f t="shared" si="12"/>
        <v>6.5045799188885693</v>
      </c>
      <c r="I51" s="182"/>
      <c r="J51" s="182"/>
      <c r="K51" s="182"/>
      <c r="L51" s="182"/>
      <c r="M51" s="183">
        <f t="shared" si="13"/>
        <v>7.89317537594754</v>
      </c>
    </row>
    <row r="52" spans="1:13" x14ac:dyDescent="0.25">
      <c r="A52" s="184" t="s">
        <v>14</v>
      </c>
      <c r="B52" s="122"/>
      <c r="C52" s="122"/>
      <c r="D52" s="122"/>
      <c r="E52" s="122"/>
      <c r="F52" s="122"/>
      <c r="G52" s="122"/>
      <c r="H52" s="179">
        <f t="shared" si="12"/>
        <v>4.6974050379437466</v>
      </c>
      <c r="I52" s="122"/>
      <c r="J52" s="179">
        <f>+J41/J8</f>
        <v>37.429059498485138</v>
      </c>
      <c r="K52" s="122"/>
      <c r="L52" s="122"/>
      <c r="M52" s="180">
        <f t="shared" si="13"/>
        <v>6.6581533061353735</v>
      </c>
    </row>
    <row r="53" spans="1:13" x14ac:dyDescent="0.25">
      <c r="A53" s="185" t="s">
        <v>17</v>
      </c>
      <c r="B53" s="186"/>
      <c r="C53" s="186"/>
      <c r="D53" s="187">
        <f t="shared" ref="D53" si="14">+D42/D9</f>
        <v>25.638061906276988</v>
      </c>
      <c r="E53" s="187"/>
      <c r="F53" s="186"/>
      <c r="G53" s="186"/>
      <c r="H53" s="187">
        <f t="shared" si="12"/>
        <v>6.798465784943744</v>
      </c>
      <c r="I53" s="186"/>
      <c r="J53" s="187">
        <f>+J42/J9</f>
        <v>8.7075847633870467</v>
      </c>
      <c r="K53" s="187"/>
      <c r="L53" s="187"/>
      <c r="M53" s="188">
        <f t="shared" si="13"/>
        <v>7.3398979329874052</v>
      </c>
    </row>
    <row r="54" spans="1:13" x14ac:dyDescent="0.25">
      <c r="A54" s="189" t="s">
        <v>53</v>
      </c>
      <c r="B54" s="190">
        <f t="shared" ref="B54:G54" si="15">+B43/B10</f>
        <v>3.8178221233400724</v>
      </c>
      <c r="C54" s="190">
        <f t="shared" si="15"/>
        <v>6.5246606789850672</v>
      </c>
      <c r="D54" s="190">
        <f t="shared" si="15"/>
        <v>6.1412559032648266</v>
      </c>
      <c r="E54" s="190">
        <f t="shared" si="15"/>
        <v>3.7136789799017702</v>
      </c>
      <c r="F54" s="190">
        <f t="shared" si="15"/>
        <v>10.45458949704142</v>
      </c>
      <c r="G54" s="190">
        <f t="shared" si="15"/>
        <v>1.9655832526108212</v>
      </c>
      <c r="H54" s="190">
        <f t="shared" si="12"/>
        <v>4.6681009038410703</v>
      </c>
      <c r="I54" s="190">
        <f>+I43/I10</f>
        <v>16.151473426421902</v>
      </c>
      <c r="J54" s="190">
        <f>+J43/J10</f>
        <v>18.764560739348923</v>
      </c>
      <c r="K54" s="190">
        <f>+K43/K10</f>
        <v>25.922044328534312</v>
      </c>
      <c r="L54" s="190">
        <f>+L43/L10</f>
        <v>2.2606134592806062</v>
      </c>
      <c r="M54" s="191">
        <f t="shared" si="13"/>
        <v>4.3865349552986439</v>
      </c>
    </row>
    <row r="55" spans="1:13" x14ac:dyDescent="0.25">
      <c r="B55"/>
      <c r="C55"/>
      <c r="M55"/>
    </row>
    <row r="56" spans="1:13" x14ac:dyDescent="0.25">
      <c r="B56"/>
      <c r="C56"/>
    </row>
    <row r="57" spans="1:13" x14ac:dyDescent="0.25">
      <c r="B57"/>
      <c r="C57"/>
    </row>
    <row r="58" spans="1:13" x14ac:dyDescent="0.25">
      <c r="B58"/>
      <c r="C58"/>
    </row>
    <row r="59" spans="1:13" x14ac:dyDescent="0.25">
      <c r="B59"/>
      <c r="C59"/>
    </row>
    <row r="60" spans="1:13" x14ac:dyDescent="0.25">
      <c r="B60"/>
      <c r="C60"/>
    </row>
    <row r="61" spans="1:13" x14ac:dyDescent="0.25">
      <c r="B61"/>
      <c r="C61"/>
    </row>
    <row r="62" spans="1:13" x14ac:dyDescent="0.25">
      <c r="B62"/>
      <c r="C62"/>
    </row>
    <row r="63" spans="1:13" x14ac:dyDescent="0.25">
      <c r="B63"/>
      <c r="C63"/>
    </row>
    <row r="64" spans="1:13" x14ac:dyDescent="0.25">
      <c r="B64"/>
      <c r="C64"/>
    </row>
    <row r="65" spans="2:30" x14ac:dyDescent="0.25">
      <c r="B65"/>
      <c r="C65"/>
    </row>
    <row r="66" spans="2:30" x14ac:dyDescent="0.25">
      <c r="B66"/>
      <c r="C66"/>
    </row>
    <row r="67" spans="2:30" x14ac:dyDescent="0.25">
      <c r="B67"/>
      <c r="C67"/>
    </row>
    <row r="68" spans="2:30" x14ac:dyDescent="0.25">
      <c r="B68"/>
      <c r="C68"/>
    </row>
    <row r="70" spans="2:30" x14ac:dyDescent="0.25">
      <c r="R70" s="132"/>
      <c r="W70" s="132"/>
      <c r="Z70" s="132"/>
    </row>
    <row r="71" spans="2:30" x14ac:dyDescent="0.25">
      <c r="P71" s="12"/>
      <c r="S71"/>
      <c r="V71"/>
      <c r="X71"/>
    </row>
    <row r="72" spans="2:30" x14ac:dyDescent="0.25">
      <c r="P72" s="12"/>
      <c r="S72"/>
      <c r="V72"/>
      <c r="X72"/>
    </row>
    <row r="73" spans="2:30" x14ac:dyDescent="0.25">
      <c r="P73" s="12"/>
      <c r="Q73"/>
      <c r="R73"/>
      <c r="S73"/>
      <c r="T73"/>
      <c r="U73" s="139"/>
      <c r="V73"/>
      <c r="W73"/>
      <c r="X73"/>
      <c r="Y73"/>
      <c r="Z73"/>
      <c r="AA73"/>
      <c r="AB73"/>
      <c r="AC73" s="139"/>
    </row>
    <row r="74" spans="2:30" x14ac:dyDescent="0.25">
      <c r="P74" s="12"/>
      <c r="Q74"/>
      <c r="R74"/>
      <c r="S74"/>
      <c r="T74"/>
      <c r="U74" s="139"/>
      <c r="V74"/>
      <c r="W74"/>
      <c r="X74"/>
      <c r="Y74"/>
      <c r="Z74"/>
      <c r="AA74"/>
      <c r="AB74"/>
      <c r="AC74" s="139"/>
    </row>
    <row r="75" spans="2:30" x14ac:dyDescent="0.25">
      <c r="P75" s="12"/>
      <c r="Q75" s="111"/>
      <c r="R75" s="111"/>
      <c r="S75" s="110"/>
      <c r="T75" s="111"/>
      <c r="U75" s="111"/>
      <c r="V75" s="111"/>
      <c r="W75" s="111"/>
      <c r="X75" s="111"/>
      <c r="Y75"/>
      <c r="Z75"/>
      <c r="AA75"/>
      <c r="AB75" s="111"/>
      <c r="AC75" s="111"/>
    </row>
    <row r="76" spans="2:30" x14ac:dyDescent="0.25">
      <c r="P76" s="12"/>
      <c r="Q76" s="111"/>
      <c r="R76" s="111"/>
      <c r="S76" s="110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/>
    </row>
    <row r="77" spans="2:30" x14ac:dyDescent="0.25">
      <c r="P77" s="12"/>
      <c r="Q77" s="111"/>
      <c r="R77" s="111"/>
      <c r="S77" s="110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/>
    </row>
    <row r="78" spans="2:30" x14ac:dyDescent="0.25">
      <c r="P78" s="12"/>
      <c r="Q78" s="111"/>
      <c r="R78" s="111"/>
      <c r="S78" s="110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/>
    </row>
    <row r="79" spans="2:30" x14ac:dyDescent="0.25">
      <c r="P79" s="12"/>
      <c r="Q79" s="111"/>
      <c r="R79" s="111"/>
      <c r="S79" s="110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/>
    </row>
    <row r="80" spans="2:30" x14ac:dyDescent="0.25">
      <c r="P80" s="12"/>
      <c r="Q80" s="111"/>
      <c r="R80" s="111"/>
      <c r="S80" s="110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/>
    </row>
    <row r="81" spans="1:30" x14ac:dyDescent="0.25">
      <c r="P81" s="12"/>
      <c r="Q81" s="110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/>
    </row>
    <row r="82" spans="1:30" x14ac:dyDescent="0.25">
      <c r="P82" s="12"/>
      <c r="Q82" s="110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</row>
    <row r="83" spans="1:30" x14ac:dyDescent="0.25">
      <c r="P83" s="12"/>
      <c r="Q83" s="110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</row>
    <row r="84" spans="1:30" x14ac:dyDescent="0.25">
      <c r="P84" s="12"/>
      <c r="Q84" s="110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</row>
    <row r="85" spans="1:30" x14ac:dyDescent="0.25">
      <c r="P85" s="12"/>
      <c r="Q85" s="110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</row>
    <row r="86" spans="1:30" x14ac:dyDescent="0.25">
      <c r="Q86"/>
      <c r="R86"/>
      <c r="S86"/>
    </row>
    <row r="87" spans="1:30" x14ac:dyDescent="0.25">
      <c r="Q87"/>
      <c r="R87"/>
      <c r="S87"/>
    </row>
    <row r="88" spans="1:30" x14ac:dyDescent="0.25">
      <c r="C88" s="132"/>
      <c r="H88" s="132"/>
      <c r="K88" s="132"/>
      <c r="Q88"/>
      <c r="R88"/>
      <c r="S88"/>
    </row>
    <row r="89" spans="1:30" x14ac:dyDescent="0.25">
      <c r="A89" s="12"/>
      <c r="D89"/>
      <c r="E89" s="139"/>
      <c r="G89"/>
      <c r="I89"/>
      <c r="N89" s="12"/>
      <c r="Q89"/>
      <c r="R89"/>
      <c r="S89"/>
    </row>
    <row r="90" spans="1:30" x14ac:dyDescent="0.25">
      <c r="A90" s="12"/>
      <c r="D90"/>
      <c r="E90" s="139"/>
      <c r="G90"/>
      <c r="I90"/>
      <c r="N90" s="12"/>
      <c r="Q90"/>
      <c r="R90"/>
      <c r="S90"/>
    </row>
    <row r="91" spans="1:30" x14ac:dyDescent="0.25">
      <c r="A91" s="12"/>
      <c r="B91"/>
      <c r="C91"/>
      <c r="D91"/>
      <c r="E91" s="139"/>
      <c r="F91"/>
      <c r="G91"/>
      <c r="H91"/>
      <c r="I91"/>
      <c r="J91"/>
      <c r="K91"/>
      <c r="L91"/>
      <c r="M91"/>
      <c r="Q91"/>
      <c r="R91"/>
      <c r="S91"/>
    </row>
    <row r="92" spans="1:30" x14ac:dyDescent="0.25">
      <c r="B92"/>
      <c r="C92"/>
      <c r="D92"/>
      <c r="E92" s="139"/>
      <c r="F92"/>
      <c r="G92"/>
      <c r="H92"/>
      <c r="I92"/>
      <c r="J92"/>
      <c r="K92"/>
      <c r="L92"/>
      <c r="M92"/>
    </row>
    <row r="93" spans="1:30" x14ac:dyDescent="0.25">
      <c r="B93"/>
      <c r="C93"/>
      <c r="D93"/>
      <c r="E93" s="139"/>
      <c r="F93"/>
      <c r="G93"/>
      <c r="H93"/>
      <c r="I93"/>
      <c r="J93"/>
      <c r="K93"/>
      <c r="L93"/>
      <c r="M93"/>
    </row>
    <row r="94" spans="1:30" x14ac:dyDescent="0.25">
      <c r="B94"/>
      <c r="C94"/>
      <c r="D94"/>
      <c r="E94" s="139"/>
      <c r="F94"/>
      <c r="G94"/>
      <c r="H94"/>
      <c r="I94"/>
      <c r="J94"/>
      <c r="K94"/>
      <c r="L94"/>
      <c r="M94"/>
    </row>
    <row r="95" spans="1:30" x14ac:dyDescent="0.25">
      <c r="B95"/>
      <c r="C95"/>
      <c r="D95"/>
      <c r="E95" s="139"/>
      <c r="F95"/>
      <c r="G95"/>
      <c r="H95"/>
      <c r="I95"/>
      <c r="J95"/>
      <c r="K95"/>
      <c r="L95"/>
      <c r="M95"/>
    </row>
    <row r="96" spans="1:30" x14ac:dyDescent="0.25">
      <c r="B96"/>
      <c r="C96"/>
      <c r="D96"/>
      <c r="E96" s="139"/>
      <c r="F96"/>
      <c r="G96"/>
      <c r="H96"/>
      <c r="I96"/>
      <c r="J96"/>
      <c r="K96"/>
      <c r="L96"/>
      <c r="M96"/>
    </row>
    <row r="97" spans="1:14" x14ac:dyDescent="0.25">
      <c r="B97"/>
      <c r="C97"/>
      <c r="D97"/>
      <c r="E97" s="139"/>
      <c r="F97"/>
      <c r="G97"/>
      <c r="H97"/>
      <c r="I97"/>
      <c r="J97"/>
      <c r="K97"/>
      <c r="L97"/>
      <c r="M97"/>
    </row>
    <row r="98" spans="1:14" x14ac:dyDescent="0.25">
      <c r="B98"/>
      <c r="C98"/>
      <c r="D98"/>
      <c r="E98" s="139"/>
      <c r="F98"/>
      <c r="G98"/>
      <c r="H98"/>
      <c r="I98"/>
      <c r="J98"/>
      <c r="K98"/>
      <c r="L98"/>
      <c r="M98"/>
    </row>
    <row r="99" spans="1:14" x14ac:dyDescent="0.25">
      <c r="B99"/>
      <c r="C99"/>
      <c r="D99"/>
      <c r="E99" s="139"/>
      <c r="F99"/>
      <c r="G99"/>
      <c r="H99"/>
      <c r="I99"/>
      <c r="J99"/>
      <c r="K99"/>
      <c r="L99"/>
      <c r="M99"/>
    </row>
    <row r="100" spans="1:14" x14ac:dyDescent="0.25">
      <c r="B100"/>
      <c r="C100"/>
      <c r="D100"/>
      <c r="E100" s="139"/>
      <c r="F100"/>
      <c r="G100"/>
      <c r="H100"/>
      <c r="I100"/>
      <c r="J100"/>
      <c r="K100"/>
      <c r="L100"/>
      <c r="M100"/>
    </row>
    <row r="101" spans="1:14" x14ac:dyDescent="0.25">
      <c r="A101" s="12"/>
      <c r="B101" s="11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</row>
    <row r="102" spans="1:14" x14ac:dyDescent="0.25">
      <c r="A102" s="12"/>
      <c r="B102" s="110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N102" s="12"/>
    </row>
    <row r="103" spans="1:14" x14ac:dyDescent="0.25">
      <c r="A103" s="12"/>
      <c r="B103" s="110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/>
    </row>
    <row r="104" spans="1:14" x14ac:dyDescent="0.25">
      <c r="B104"/>
      <c r="C104"/>
      <c r="D104"/>
      <c r="E104" s="139"/>
      <c r="M104"/>
    </row>
    <row r="105" spans="1:14" x14ac:dyDescent="0.25">
      <c r="B105"/>
      <c r="C105"/>
      <c r="D105"/>
      <c r="E105" s="139"/>
      <c r="M105"/>
    </row>
    <row r="106" spans="1:14" x14ac:dyDescent="0.25">
      <c r="B106"/>
      <c r="C106"/>
      <c r="D106"/>
      <c r="E106" s="139"/>
      <c r="M106"/>
    </row>
    <row r="107" spans="1:14" x14ac:dyDescent="0.25">
      <c r="B107"/>
      <c r="C107"/>
      <c r="D107"/>
      <c r="E107" s="139"/>
      <c r="M107"/>
    </row>
    <row r="108" spans="1:14" x14ac:dyDescent="0.25">
      <c r="B108"/>
      <c r="C108"/>
      <c r="D108"/>
      <c r="E108" s="139"/>
      <c r="M108"/>
    </row>
    <row r="109" spans="1:14" x14ac:dyDescent="0.25">
      <c r="B109"/>
      <c r="C109"/>
      <c r="D109"/>
      <c r="E109" s="139"/>
      <c r="M109"/>
    </row>
    <row r="110" spans="1:14" x14ac:dyDescent="0.25">
      <c r="M110"/>
    </row>
    <row r="111" spans="1:14" x14ac:dyDescent="0.25">
      <c r="M111"/>
    </row>
    <row r="112" spans="1:14" x14ac:dyDescent="0.25">
      <c r="M112"/>
    </row>
    <row r="113" spans="13:13" x14ac:dyDescent="0.25">
      <c r="M113"/>
    </row>
    <row r="114" spans="13:13" x14ac:dyDescent="0.25">
      <c r="M114"/>
    </row>
    <row r="115" spans="13:13" x14ac:dyDescent="0.25">
      <c r="M115"/>
    </row>
    <row r="116" spans="13:13" x14ac:dyDescent="0.25">
      <c r="M116"/>
    </row>
    <row r="117" spans="13:13" x14ac:dyDescent="0.25">
      <c r="M117"/>
    </row>
    <row r="118" spans="13:13" x14ac:dyDescent="0.25">
      <c r="M118"/>
    </row>
    <row r="119" spans="13:13" x14ac:dyDescent="0.25">
      <c r="M119"/>
    </row>
    <row r="120" spans="13:13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61" spans="13:13" x14ac:dyDescent="0.25">
      <c r="M161"/>
    </row>
    <row r="162" spans="13:13" x14ac:dyDescent="0.25">
      <c r="M162"/>
    </row>
    <row r="163" spans="13:13" x14ac:dyDescent="0.25">
      <c r="M163"/>
    </row>
    <row r="164" spans="13:13" x14ac:dyDescent="0.25">
      <c r="M164"/>
    </row>
    <row r="165" spans="13:13" x14ac:dyDescent="0.25">
      <c r="M165"/>
    </row>
  </sheetData>
  <mergeCells count="5">
    <mergeCell ref="A2:N2"/>
    <mergeCell ref="A13:N13"/>
    <mergeCell ref="A24:N24"/>
    <mergeCell ref="A46:M46"/>
    <mergeCell ref="A35:N3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CF24-B419-4FA8-8614-74AE567ACFBE}">
  <dimension ref="A1:H32"/>
  <sheetViews>
    <sheetView workbookViewId="0">
      <selection activeCell="D43" sqref="D43"/>
    </sheetView>
  </sheetViews>
  <sheetFormatPr defaultRowHeight="15" x14ac:dyDescent="0.25"/>
  <cols>
    <col min="1" max="1" width="25.28515625" bestFit="1" customWidth="1"/>
    <col min="2" max="2" width="16.28515625" bestFit="1" customWidth="1"/>
    <col min="3" max="3" width="12" bestFit="1" customWidth="1"/>
    <col min="4" max="4" width="8" bestFit="1" customWidth="1"/>
    <col min="5" max="5" width="7.28515625" bestFit="1" customWidth="1"/>
    <col min="6" max="6" width="16" bestFit="1" customWidth="1"/>
    <col min="7" max="8" width="12" bestFit="1" customWidth="1"/>
  </cols>
  <sheetData>
    <row r="1" spans="1:8" x14ac:dyDescent="0.25">
      <c r="A1" s="222" t="s">
        <v>147</v>
      </c>
      <c r="B1" s="222" t="s">
        <v>146</v>
      </c>
    </row>
    <row r="2" spans="1:8" x14ac:dyDescent="0.25">
      <c r="A2" s="222" t="s">
        <v>131</v>
      </c>
      <c r="B2" s="139" t="s">
        <v>9</v>
      </c>
      <c r="C2" s="139" t="s">
        <v>8</v>
      </c>
      <c r="D2" s="139" t="s">
        <v>46</v>
      </c>
      <c r="E2" s="139" t="s">
        <v>90</v>
      </c>
      <c r="F2" s="139" t="s">
        <v>138</v>
      </c>
      <c r="G2" s="139" t="s">
        <v>7</v>
      </c>
      <c r="H2" s="139" t="s">
        <v>132</v>
      </c>
    </row>
    <row r="3" spans="1:8" x14ac:dyDescent="0.25">
      <c r="A3" s="110" t="s">
        <v>144</v>
      </c>
      <c r="B3" s="111">
        <v>1031257.8137407271</v>
      </c>
      <c r="C3" s="111">
        <v>949171.64298289316</v>
      </c>
      <c r="D3" s="111"/>
      <c r="E3" s="111"/>
      <c r="F3" s="111"/>
      <c r="G3" s="111">
        <v>4482373.9363887319</v>
      </c>
      <c r="H3" s="111">
        <v>6462803.3931123521</v>
      </c>
    </row>
    <row r="4" spans="1:8" x14ac:dyDescent="0.25">
      <c r="A4" s="110" t="s">
        <v>12</v>
      </c>
      <c r="B4" s="111">
        <v>800987.84922040289</v>
      </c>
      <c r="C4" s="111">
        <v>958665.97537787911</v>
      </c>
      <c r="D4" s="111"/>
      <c r="E4" s="111"/>
      <c r="F4" s="111"/>
      <c r="G4" s="111">
        <v>61887373.152009025</v>
      </c>
      <c r="H4" s="111">
        <v>63647026.976607308</v>
      </c>
    </row>
    <row r="5" spans="1:8" x14ac:dyDescent="0.25">
      <c r="A5" s="110" t="s">
        <v>23</v>
      </c>
      <c r="B5" s="111">
        <v>591410.69183775201</v>
      </c>
      <c r="C5" s="111">
        <v>707578.55440543662</v>
      </c>
      <c r="D5" s="111"/>
      <c r="E5" s="111"/>
      <c r="F5" s="111"/>
      <c r="G5" s="111">
        <v>12283148.853756811</v>
      </c>
      <c r="H5" s="111">
        <v>13582138.1</v>
      </c>
    </row>
    <row r="6" spans="1:8" x14ac:dyDescent="0.25">
      <c r="A6" s="110" t="s">
        <v>140</v>
      </c>
      <c r="B6" s="111"/>
      <c r="C6" s="111"/>
      <c r="D6" s="111">
        <v>270031</v>
      </c>
      <c r="E6" s="111"/>
      <c r="F6" s="111"/>
      <c r="G6" s="111"/>
      <c r="H6" s="111">
        <v>270031</v>
      </c>
    </row>
    <row r="7" spans="1:8" x14ac:dyDescent="0.25">
      <c r="A7" s="110" t="s">
        <v>24</v>
      </c>
      <c r="B7" s="111">
        <v>17462998.203517981</v>
      </c>
      <c r="C7" s="111">
        <v>21310454.10323894</v>
      </c>
      <c r="D7" s="111"/>
      <c r="E7" s="111"/>
      <c r="F7" s="111"/>
      <c r="G7" s="111">
        <v>137002904.8915875</v>
      </c>
      <c r="H7" s="111">
        <v>175776357.19834441</v>
      </c>
    </row>
    <row r="8" spans="1:8" x14ac:dyDescent="0.25">
      <c r="A8" s="110" t="s">
        <v>129</v>
      </c>
      <c r="B8" s="111"/>
      <c r="C8" s="111"/>
      <c r="D8" s="111">
        <v>69129723</v>
      </c>
      <c r="E8" s="111"/>
      <c r="F8" s="111"/>
      <c r="G8" s="111"/>
      <c r="H8" s="111">
        <v>69129723</v>
      </c>
    </row>
    <row r="9" spans="1:8" x14ac:dyDescent="0.25">
      <c r="A9" s="110" t="s">
        <v>128</v>
      </c>
      <c r="B9" s="111"/>
      <c r="C9" s="111">
        <v>69963</v>
      </c>
      <c r="D9" s="111">
        <v>6785696.96</v>
      </c>
      <c r="E9" s="111"/>
      <c r="F9" s="111"/>
      <c r="G9" s="111">
        <v>1853184.0466275401</v>
      </c>
      <c r="H9" s="111">
        <v>8708844.006627541</v>
      </c>
    </row>
    <row r="10" spans="1:8" x14ac:dyDescent="0.25">
      <c r="A10" s="110" t="s">
        <v>43</v>
      </c>
      <c r="B10" s="111">
        <v>329651</v>
      </c>
      <c r="C10" s="111">
        <v>301695</v>
      </c>
      <c r="D10" s="111"/>
      <c r="E10" s="111"/>
      <c r="F10" s="111"/>
      <c r="G10" s="111">
        <v>1954196</v>
      </c>
      <c r="H10" s="111">
        <v>2585542</v>
      </c>
    </row>
    <row r="11" spans="1:8" x14ac:dyDescent="0.25">
      <c r="A11" s="110" t="s">
        <v>22</v>
      </c>
      <c r="B11" s="111">
        <v>6820473.2606274774</v>
      </c>
      <c r="C11" s="111">
        <v>6355407.0184127633</v>
      </c>
      <c r="D11" s="111"/>
      <c r="E11" s="111"/>
      <c r="F11" s="111"/>
      <c r="G11" s="111">
        <v>33234622.185959749</v>
      </c>
      <c r="H11" s="111">
        <v>46410502.464999989</v>
      </c>
    </row>
    <row r="12" spans="1:8" x14ac:dyDescent="0.25">
      <c r="A12" s="110" t="s">
        <v>90</v>
      </c>
      <c r="B12" s="111"/>
      <c r="C12" s="111"/>
      <c r="D12" s="111"/>
      <c r="E12" s="111">
        <v>492061.34815439291</v>
      </c>
      <c r="F12" s="111"/>
      <c r="G12" s="111"/>
      <c r="H12" s="111">
        <v>492061.34815439291</v>
      </c>
    </row>
    <row r="13" spans="1:8" x14ac:dyDescent="0.25">
      <c r="A13" s="110" t="s">
        <v>20</v>
      </c>
      <c r="B13" s="111">
        <v>1856739.6143734981</v>
      </c>
      <c r="C13" s="111">
        <v>2478066.0777740562</v>
      </c>
      <c r="D13" s="111"/>
      <c r="E13" s="111"/>
      <c r="F13" s="111">
        <v>173747.38793677476</v>
      </c>
      <c r="G13" s="111">
        <v>23162752.6654347</v>
      </c>
      <c r="H13" s="111">
        <v>27671305.745519027</v>
      </c>
    </row>
    <row r="14" spans="1:8" x14ac:dyDescent="0.25">
      <c r="A14" s="110" t="s">
        <v>19</v>
      </c>
      <c r="B14" s="111">
        <v>2098331.267712737</v>
      </c>
      <c r="C14" s="111">
        <v>2687926.0437730062</v>
      </c>
      <c r="D14" s="111"/>
      <c r="E14" s="111"/>
      <c r="F14" s="111">
        <v>475618.69815015991</v>
      </c>
      <c r="G14" s="111">
        <v>15715720.821888624</v>
      </c>
      <c r="H14" s="111">
        <v>20977596.831524529</v>
      </c>
    </row>
    <row r="15" spans="1:8" x14ac:dyDescent="0.25">
      <c r="A15" s="110" t="s">
        <v>132</v>
      </c>
      <c r="B15" s="111">
        <v>30991849.701030578</v>
      </c>
      <c r="C15" s="111">
        <v>35818927.415964969</v>
      </c>
      <c r="D15" s="111">
        <v>76185450.959999993</v>
      </c>
      <c r="E15" s="111">
        <v>492061.34815439291</v>
      </c>
      <c r="F15" s="111">
        <v>649366.08608693467</v>
      </c>
      <c r="G15" s="111">
        <v>291576276.5536527</v>
      </c>
      <c r="H15" s="111">
        <v>435713932.06488955</v>
      </c>
    </row>
    <row r="18" spans="1:8" x14ac:dyDescent="0.25">
      <c r="A18" s="222" t="s">
        <v>136</v>
      </c>
      <c r="B18" s="222" t="s">
        <v>146</v>
      </c>
    </row>
    <row r="19" spans="1:8" x14ac:dyDescent="0.25">
      <c r="A19" s="222" t="s">
        <v>131</v>
      </c>
      <c r="B19" s="139" t="s">
        <v>9</v>
      </c>
      <c r="C19" s="139" t="s">
        <v>8</v>
      </c>
      <c r="D19" s="139" t="s">
        <v>46</v>
      </c>
      <c r="E19" s="139" t="s">
        <v>90</v>
      </c>
      <c r="F19" s="139" t="s">
        <v>138</v>
      </c>
      <c r="G19" s="139" t="s">
        <v>7</v>
      </c>
      <c r="H19" s="139" t="s">
        <v>132</v>
      </c>
    </row>
    <row r="20" spans="1:8" x14ac:dyDescent="0.25">
      <c r="A20" s="110" t="s">
        <v>144</v>
      </c>
      <c r="B20" s="111">
        <v>178097</v>
      </c>
      <c r="C20" s="111">
        <v>207630</v>
      </c>
      <c r="D20" s="111"/>
      <c r="E20" s="111"/>
      <c r="F20" s="111"/>
      <c r="G20" s="111">
        <v>1232476</v>
      </c>
      <c r="H20" s="111">
        <v>1618203</v>
      </c>
    </row>
    <row r="21" spans="1:8" x14ac:dyDescent="0.25">
      <c r="A21" s="110" t="s">
        <v>12</v>
      </c>
      <c r="B21" s="111">
        <v>39083.828130220048</v>
      </c>
      <c r="C21" s="111">
        <v>64068.155470272439</v>
      </c>
      <c r="D21" s="111"/>
      <c r="E21" s="111"/>
      <c r="F21" s="111"/>
      <c r="G21" s="111">
        <v>12207343.257512381</v>
      </c>
      <c r="H21" s="111">
        <v>12310495.241112873</v>
      </c>
    </row>
    <row r="22" spans="1:8" x14ac:dyDescent="0.25">
      <c r="A22" s="110" t="s">
        <v>23</v>
      </c>
      <c r="B22" s="111">
        <v>34282.800000000003</v>
      </c>
      <c r="C22" s="111">
        <v>41016.800000000003</v>
      </c>
      <c r="D22" s="111"/>
      <c r="E22" s="111"/>
      <c r="F22" s="111"/>
      <c r="G22" s="111">
        <v>712027.6</v>
      </c>
      <c r="H22" s="111">
        <v>787327.2</v>
      </c>
    </row>
    <row r="23" spans="1:8" x14ac:dyDescent="0.25">
      <c r="A23" s="110" t="s">
        <v>140</v>
      </c>
      <c r="B23" s="111"/>
      <c r="C23" s="111"/>
      <c r="D23" s="111">
        <v>117252</v>
      </c>
      <c r="E23" s="111"/>
      <c r="F23" s="111"/>
      <c r="G23" s="111"/>
      <c r="H23" s="111">
        <v>117252</v>
      </c>
    </row>
    <row r="24" spans="1:8" x14ac:dyDescent="0.25">
      <c r="A24" s="110" t="s">
        <v>24</v>
      </c>
      <c r="B24" s="111">
        <v>3176625.0455332543</v>
      </c>
      <c r="C24" s="111">
        <v>3918730.1006314913</v>
      </c>
      <c r="D24" s="111"/>
      <c r="E24" s="111"/>
      <c r="F24" s="111"/>
      <c r="G24" s="111">
        <v>32570239.608177263</v>
      </c>
      <c r="H24" s="111">
        <v>39665594.754342005</v>
      </c>
    </row>
    <row r="25" spans="1:8" x14ac:dyDescent="0.25">
      <c r="A25" s="110" t="s">
        <v>129</v>
      </c>
      <c r="B25" s="111"/>
      <c r="C25" s="111"/>
      <c r="D25" s="111">
        <v>1977507</v>
      </c>
      <c r="E25" s="111"/>
      <c r="F25" s="111"/>
      <c r="G25" s="111"/>
      <c r="H25" s="111">
        <v>1977507</v>
      </c>
    </row>
    <row r="26" spans="1:8" x14ac:dyDescent="0.25">
      <c r="A26" s="110" t="s">
        <v>128</v>
      </c>
      <c r="B26" s="111"/>
      <c r="C26" s="111">
        <v>6214</v>
      </c>
      <c r="D26" s="111">
        <v>280425</v>
      </c>
      <c r="E26" s="111"/>
      <c r="F26" s="111"/>
      <c r="G26" s="111">
        <v>123811</v>
      </c>
      <c r="H26" s="111">
        <v>410450</v>
      </c>
    </row>
    <row r="27" spans="1:8" x14ac:dyDescent="0.25">
      <c r="A27" s="110" t="s">
        <v>43</v>
      </c>
      <c r="B27" s="111">
        <v>29968</v>
      </c>
      <c r="C27" s="111">
        <v>34013</v>
      </c>
      <c r="D27" s="111"/>
      <c r="E27" s="111"/>
      <c r="F27" s="111"/>
      <c r="G27" s="111">
        <v>190144</v>
      </c>
      <c r="H27" s="111">
        <v>254125</v>
      </c>
    </row>
    <row r="28" spans="1:8" x14ac:dyDescent="0.25">
      <c r="A28" s="110" t="s">
        <v>22</v>
      </c>
      <c r="B28" s="111">
        <v>2713387.5999999996</v>
      </c>
      <c r="C28" s="111">
        <v>3142524.2</v>
      </c>
      <c r="D28" s="111"/>
      <c r="E28" s="111"/>
      <c r="F28" s="111"/>
      <c r="G28" s="111">
        <v>19099706</v>
      </c>
      <c r="H28" s="111">
        <v>24955617.800000001</v>
      </c>
    </row>
    <row r="29" spans="1:8" x14ac:dyDescent="0.25">
      <c r="A29" s="110" t="s">
        <v>90</v>
      </c>
      <c r="B29" s="111"/>
      <c r="C29" s="111"/>
      <c r="D29" s="111"/>
      <c r="E29" s="111">
        <v>212828</v>
      </c>
      <c r="F29" s="111"/>
      <c r="G29" s="111"/>
      <c r="H29" s="111">
        <v>212828</v>
      </c>
    </row>
    <row r="30" spans="1:8" x14ac:dyDescent="0.25">
      <c r="A30" s="110" t="s">
        <v>20</v>
      </c>
      <c r="B30" s="111">
        <v>212678.40284469537</v>
      </c>
      <c r="C30" s="111">
        <v>352901.01465093292</v>
      </c>
      <c r="D30" s="111"/>
      <c r="E30" s="111"/>
      <c r="F30" s="111">
        <v>36534</v>
      </c>
      <c r="G30" s="111">
        <v>3412394.316355885</v>
      </c>
      <c r="H30" s="111">
        <v>4014507.7338515134</v>
      </c>
    </row>
    <row r="31" spans="1:8" x14ac:dyDescent="0.25">
      <c r="A31" s="110" t="s">
        <v>19</v>
      </c>
      <c r="B31" s="111">
        <v>158135.34142889001</v>
      </c>
      <c r="C31" s="111">
        <v>283264.69671894459</v>
      </c>
      <c r="D31" s="111"/>
      <c r="E31" s="111"/>
      <c r="F31" s="111">
        <v>59610</v>
      </c>
      <c r="G31" s="111">
        <v>2328571.2325457674</v>
      </c>
      <c r="H31" s="111">
        <v>2829581.270693602</v>
      </c>
    </row>
    <row r="32" spans="1:8" x14ac:dyDescent="0.25">
      <c r="A32" s="110" t="s">
        <v>132</v>
      </c>
      <c r="B32" s="111">
        <v>6542258.0179370595</v>
      </c>
      <c r="C32" s="111">
        <v>8050361.9674716406</v>
      </c>
      <c r="D32" s="111">
        <v>2375184</v>
      </c>
      <c r="E32" s="111">
        <v>212828</v>
      </c>
      <c r="F32" s="111">
        <v>96144</v>
      </c>
      <c r="G32" s="111">
        <v>71876713.014591292</v>
      </c>
      <c r="H32" s="111">
        <v>89153488.999999985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F435-5CB7-4A02-B116-6CF058481BA1}">
  <sheetPr>
    <tabColor theme="9" tint="0.59999389629810485"/>
  </sheetPr>
  <dimension ref="A1:E41"/>
  <sheetViews>
    <sheetView workbookViewId="0">
      <selection activeCell="B10" sqref="B10"/>
    </sheetView>
  </sheetViews>
  <sheetFormatPr defaultRowHeight="15" x14ac:dyDescent="0.25"/>
  <cols>
    <col min="1" max="1" width="13.140625" bestFit="1" customWidth="1"/>
    <col min="2" max="2" width="17.85546875" bestFit="1" customWidth="1"/>
    <col min="3" max="3" width="20" bestFit="1" customWidth="1"/>
    <col min="4" max="4" width="21.7109375" bestFit="1" customWidth="1"/>
    <col min="5" max="5" width="22.42578125" bestFit="1" customWidth="1"/>
  </cols>
  <sheetData>
    <row r="1" spans="1:5" x14ac:dyDescent="0.25">
      <c r="A1" t="s">
        <v>145</v>
      </c>
    </row>
    <row r="2" spans="1:5" x14ac:dyDescent="0.25">
      <c r="A2" s="222" t="s">
        <v>54</v>
      </c>
      <c r="B2" s="139" t="s">
        <v>134</v>
      </c>
    </row>
    <row r="4" spans="1:5" x14ac:dyDescent="0.25">
      <c r="A4" s="222" t="s">
        <v>131</v>
      </c>
      <c r="B4" s="139" t="s">
        <v>133</v>
      </c>
      <c r="C4" s="139" t="s">
        <v>135</v>
      </c>
      <c r="D4" s="139" t="s">
        <v>136</v>
      </c>
      <c r="E4" s="139" t="s">
        <v>137</v>
      </c>
    </row>
    <row r="5" spans="1:5" x14ac:dyDescent="0.25">
      <c r="A5" s="110" t="s">
        <v>11</v>
      </c>
      <c r="B5" s="111">
        <v>4086072.4144136999</v>
      </c>
      <c r="C5" s="111">
        <v>2211174.2400000002</v>
      </c>
      <c r="D5" s="111">
        <v>800100</v>
      </c>
      <c r="E5" s="111">
        <v>19678.655999999999</v>
      </c>
    </row>
    <row r="6" spans="1:5" x14ac:dyDescent="0.25">
      <c r="A6" s="110" t="s">
        <v>18</v>
      </c>
      <c r="B6" s="111">
        <v>315107398.24290335</v>
      </c>
      <c r="C6" s="111">
        <v>62447797.619999982</v>
      </c>
      <c r="D6" s="111">
        <v>53574882.000000022</v>
      </c>
      <c r="E6" s="111">
        <v>1629004.8699999985</v>
      </c>
    </row>
    <row r="7" spans="1:5" x14ac:dyDescent="0.25">
      <c r="A7" s="110" t="s">
        <v>21</v>
      </c>
      <c r="B7" s="111">
        <v>16290412</v>
      </c>
      <c r="C7" s="111">
        <v>2725767.5880000177</v>
      </c>
      <c r="D7" s="111">
        <v>2396845</v>
      </c>
      <c r="E7" s="111">
        <v>175417.77066666671</v>
      </c>
    </row>
    <row r="8" spans="1:5" x14ac:dyDescent="0.25">
      <c r="A8" s="110" t="s">
        <v>16</v>
      </c>
      <c r="B8" s="111">
        <v>24925350.68</v>
      </c>
      <c r="C8" s="111">
        <v>5631278.879999999</v>
      </c>
      <c r="D8" s="111">
        <v>2619791</v>
      </c>
      <c r="E8" s="111">
        <v>154471.15799999997</v>
      </c>
    </row>
    <row r="9" spans="1:5" x14ac:dyDescent="0.25">
      <c r="A9" s="110" t="s">
        <v>14</v>
      </c>
      <c r="B9" s="111">
        <v>3663901.4439451117</v>
      </c>
      <c r="C9" s="111">
        <v>1089528.96</v>
      </c>
      <c r="D9" s="111">
        <v>491823</v>
      </c>
      <c r="E9" s="111">
        <v>26364.820000000003</v>
      </c>
    </row>
    <row r="10" spans="1:5" x14ac:dyDescent="0.25">
      <c r="A10" s="110" t="s">
        <v>122</v>
      </c>
      <c r="B10" s="111">
        <v>10468890</v>
      </c>
      <c r="C10" s="111">
        <v>2823784</v>
      </c>
      <c r="D10" s="111">
        <v>1021894</v>
      </c>
      <c r="E10" s="111">
        <v>40545.660000000003</v>
      </c>
    </row>
    <row r="11" spans="1:5" x14ac:dyDescent="0.25">
      <c r="A11" s="110" t="s">
        <v>132</v>
      </c>
      <c r="B11" s="111">
        <v>374542024.78126216</v>
      </c>
      <c r="C11" s="111">
        <v>76929331.287999988</v>
      </c>
      <c r="D11" s="111">
        <v>60905335.000000022</v>
      </c>
      <c r="E11" s="111">
        <v>2045482.9346666653</v>
      </c>
    </row>
    <row r="13" spans="1:5" x14ac:dyDescent="0.25">
      <c r="A13" s="222" t="s">
        <v>54</v>
      </c>
      <c r="B13" s="139" t="s">
        <v>128</v>
      </c>
    </row>
    <row r="15" spans="1:5" x14ac:dyDescent="0.25">
      <c r="A15" s="222" t="s">
        <v>131</v>
      </c>
      <c r="B15" s="139" t="s">
        <v>133</v>
      </c>
      <c r="C15" s="139" t="s">
        <v>135</v>
      </c>
      <c r="D15" s="139" t="s">
        <v>136</v>
      </c>
      <c r="E15" s="139" t="s">
        <v>137</v>
      </c>
    </row>
    <row r="16" spans="1:5" x14ac:dyDescent="0.25">
      <c r="A16" s="110" t="s">
        <v>11</v>
      </c>
      <c r="B16" s="111">
        <v>788759.54999999993</v>
      </c>
      <c r="C16" s="111">
        <v>52769.59</v>
      </c>
      <c r="D16" s="111">
        <v>36568</v>
      </c>
      <c r="E16" s="111">
        <v>10913</v>
      </c>
    </row>
    <row r="17" spans="1:5" x14ac:dyDescent="0.25">
      <c r="A17" s="110" t="s">
        <v>21</v>
      </c>
      <c r="B17" s="111">
        <v>7007241</v>
      </c>
      <c r="C17" s="111">
        <v>957534</v>
      </c>
      <c r="D17" s="111">
        <v>243857</v>
      </c>
      <c r="E17" s="111">
        <v>109827</v>
      </c>
    </row>
    <row r="18" spans="1:5" x14ac:dyDescent="0.25">
      <c r="A18" s="110" t="s">
        <v>14</v>
      </c>
      <c r="B18" s="111">
        <v>1147968.2066275401</v>
      </c>
      <c r="C18" s="111">
        <v>65180.160000000003</v>
      </c>
      <c r="D18" s="111">
        <v>27514</v>
      </c>
      <c r="E18" s="111">
        <v>9422</v>
      </c>
    </row>
    <row r="19" spans="1:5" x14ac:dyDescent="0.25">
      <c r="A19" s="110" t="s">
        <v>122</v>
      </c>
      <c r="B19" s="111">
        <v>1081137</v>
      </c>
      <c r="C19" s="111">
        <v>240778</v>
      </c>
      <c r="D19" s="111">
        <v>102511</v>
      </c>
      <c r="E19" s="111">
        <v>29509.040000000001</v>
      </c>
    </row>
    <row r="20" spans="1:5" x14ac:dyDescent="0.25">
      <c r="A20" s="110" t="s">
        <v>132</v>
      </c>
      <c r="B20" s="111">
        <v>10025105.756627539</v>
      </c>
      <c r="C20" s="111">
        <v>1316261.75</v>
      </c>
      <c r="D20" s="111">
        <v>410450</v>
      </c>
      <c r="E20" s="111">
        <v>159671.04000000001</v>
      </c>
    </row>
    <row r="22" spans="1:5" x14ac:dyDescent="0.25">
      <c r="A22" s="222" t="s">
        <v>10</v>
      </c>
      <c r="B22" s="139" t="s">
        <v>21</v>
      </c>
    </row>
    <row r="24" spans="1:5" x14ac:dyDescent="0.25">
      <c r="A24" s="222" t="s">
        <v>131</v>
      </c>
      <c r="B24" s="139" t="s">
        <v>133</v>
      </c>
      <c r="C24" s="139" t="s">
        <v>135</v>
      </c>
      <c r="D24" s="139" t="s">
        <v>136</v>
      </c>
      <c r="E24" s="139" t="s">
        <v>137</v>
      </c>
    </row>
    <row r="25" spans="1:5" x14ac:dyDescent="0.25">
      <c r="A25" s="110" t="s">
        <v>12</v>
      </c>
      <c r="B25" s="111">
        <v>1082359.1582956915</v>
      </c>
      <c r="C25" s="111">
        <v>229955.85799999995</v>
      </c>
      <c r="D25" s="111">
        <v>104165</v>
      </c>
      <c r="E25" s="111">
        <v>6891.4439999999995</v>
      </c>
    </row>
    <row r="26" spans="1:5" x14ac:dyDescent="0.25">
      <c r="A26" s="110" t="s">
        <v>140</v>
      </c>
      <c r="B26" s="111">
        <v>833156</v>
      </c>
      <c r="C26" s="111">
        <v>563125</v>
      </c>
      <c r="D26" s="111">
        <v>117252</v>
      </c>
      <c r="E26" s="111">
        <v>31763</v>
      </c>
    </row>
    <row r="27" spans="1:5" x14ac:dyDescent="0.25">
      <c r="A27" s="110" t="s">
        <v>129</v>
      </c>
      <c r="B27" s="111">
        <v>76298154</v>
      </c>
      <c r="C27" s="111">
        <v>7168431</v>
      </c>
      <c r="D27" s="111">
        <v>1977507</v>
      </c>
      <c r="E27" s="111">
        <v>1158967</v>
      </c>
    </row>
    <row r="28" spans="1:5" x14ac:dyDescent="0.25">
      <c r="A28" s="110" t="s">
        <v>128</v>
      </c>
      <c r="B28" s="111">
        <v>7007241</v>
      </c>
      <c r="C28" s="111">
        <v>957534</v>
      </c>
      <c r="D28" s="111">
        <v>243857</v>
      </c>
      <c r="E28" s="111">
        <v>109827</v>
      </c>
    </row>
    <row r="29" spans="1:5" x14ac:dyDescent="0.25">
      <c r="A29" s="110" t="s">
        <v>43</v>
      </c>
      <c r="B29" s="111">
        <v>2802586</v>
      </c>
      <c r="C29" s="111">
        <v>217044</v>
      </c>
      <c r="D29" s="111">
        <v>254125</v>
      </c>
      <c r="E29" s="111">
        <v>12060</v>
      </c>
    </row>
    <row r="30" spans="1:5" x14ac:dyDescent="0.25">
      <c r="A30" s="110" t="s">
        <v>20</v>
      </c>
      <c r="B30" s="111">
        <v>8273052.9166937498</v>
      </c>
      <c r="C30" s="111">
        <v>1495757.4720000066</v>
      </c>
      <c r="D30" s="111">
        <v>1277639</v>
      </c>
      <c r="E30" s="111">
        <v>103097.87900000002</v>
      </c>
    </row>
    <row r="31" spans="1:5" x14ac:dyDescent="0.25">
      <c r="A31" s="110" t="s">
        <v>19</v>
      </c>
      <c r="B31" s="111">
        <v>4132413.925010561</v>
      </c>
      <c r="C31" s="111">
        <v>783010.25800001121</v>
      </c>
      <c r="D31" s="111">
        <v>760916</v>
      </c>
      <c r="E31" s="111">
        <v>53368.447666666674</v>
      </c>
    </row>
    <row r="32" spans="1:5" x14ac:dyDescent="0.25">
      <c r="A32" s="110" t="s">
        <v>132</v>
      </c>
      <c r="B32" s="111">
        <v>100428963</v>
      </c>
      <c r="C32" s="111">
        <v>11414857.588000016</v>
      </c>
      <c r="D32" s="111">
        <v>4735461</v>
      </c>
      <c r="E32" s="111">
        <v>1475974.7706666666</v>
      </c>
    </row>
    <row r="36" spans="1:5" x14ac:dyDescent="0.25">
      <c r="A36" s="222" t="s">
        <v>10</v>
      </c>
      <c r="B36" s="139" t="s">
        <v>18</v>
      </c>
      <c r="C36" s="139"/>
      <c r="D36" s="139"/>
      <c r="E36" s="139"/>
    </row>
    <row r="37" spans="1:5" x14ac:dyDescent="0.25">
      <c r="A37" s="139"/>
      <c r="B37" s="139"/>
      <c r="C37" s="139"/>
      <c r="D37" s="139"/>
      <c r="E37" s="139"/>
    </row>
    <row r="38" spans="1:5" x14ac:dyDescent="0.25">
      <c r="A38" s="222" t="s">
        <v>131</v>
      </c>
      <c r="B38" s="222" t="s">
        <v>133</v>
      </c>
      <c r="C38" s="222" t="s">
        <v>135</v>
      </c>
      <c r="D38" s="222" t="s">
        <v>136</v>
      </c>
      <c r="E38" s="222" t="s">
        <v>137</v>
      </c>
    </row>
    <row r="39" spans="1:5" x14ac:dyDescent="0.25">
      <c r="A39" s="110" t="s">
        <v>23</v>
      </c>
      <c r="B39" s="111">
        <v>16213832.869999999</v>
      </c>
      <c r="C39" s="111">
        <v>2631694.7699999996</v>
      </c>
      <c r="D39" s="111">
        <v>787327.2</v>
      </c>
      <c r="E39" s="111">
        <v>3191.08</v>
      </c>
    </row>
    <row r="40" spans="1:5" x14ac:dyDescent="0.25">
      <c r="A40" s="110" t="s">
        <v>22</v>
      </c>
      <c r="B40" s="111">
        <v>73123679.554999992</v>
      </c>
      <c r="C40" s="111">
        <v>26713177.090000004</v>
      </c>
      <c r="D40" s="111">
        <v>24955617.799999997</v>
      </c>
      <c r="E40" s="111">
        <v>117620.72999999998</v>
      </c>
    </row>
    <row r="41" spans="1:5" x14ac:dyDescent="0.25">
      <c r="A41" s="110" t="s">
        <v>132</v>
      </c>
      <c r="B41" s="111">
        <v>89337512.424999997</v>
      </c>
      <c r="C41" s="111">
        <v>29344871.860000003</v>
      </c>
      <c r="D41" s="111">
        <v>25742944.999999996</v>
      </c>
      <c r="E41" s="111">
        <v>120811.80999999998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2D33-ED71-4E2A-8B01-DD5F1233A1CE}">
  <sheetPr>
    <tabColor rgb="FF00B050"/>
  </sheetPr>
  <dimension ref="A1:E46"/>
  <sheetViews>
    <sheetView topLeftCell="A16" workbookViewId="0">
      <selection activeCell="A41" sqref="A41:E46"/>
    </sheetView>
  </sheetViews>
  <sheetFormatPr defaultRowHeight="15" x14ac:dyDescent="0.25"/>
  <cols>
    <col min="1" max="1" width="14.28515625" bestFit="1" customWidth="1"/>
    <col min="2" max="2" width="16.42578125" bestFit="1" customWidth="1"/>
    <col min="3" max="3" width="20" bestFit="1" customWidth="1"/>
    <col min="4" max="4" width="21.7109375" bestFit="1" customWidth="1"/>
    <col min="5" max="5" width="22.42578125" bestFit="1" customWidth="1"/>
    <col min="6" max="10" width="12" bestFit="1" customWidth="1"/>
    <col min="11" max="11" width="11" bestFit="1" customWidth="1"/>
    <col min="12" max="18" width="12" bestFit="1" customWidth="1"/>
    <col min="19" max="19" width="11" bestFit="1" customWidth="1"/>
    <col min="20" max="43" width="12" bestFit="1" customWidth="1"/>
    <col min="44" max="44" width="11" bestFit="1" customWidth="1"/>
    <col min="45" max="48" width="12" bestFit="1" customWidth="1"/>
    <col min="49" max="49" width="11" bestFit="1" customWidth="1"/>
    <col min="50" max="53" width="12" bestFit="1" customWidth="1"/>
    <col min="54" max="54" width="11" bestFit="1" customWidth="1"/>
    <col min="55" max="66" width="12" bestFit="1" customWidth="1"/>
    <col min="67" max="67" width="11" bestFit="1" customWidth="1"/>
    <col min="68" max="68" width="12" bestFit="1" customWidth="1"/>
    <col min="69" max="69" width="11" bestFit="1" customWidth="1"/>
    <col min="70" max="77" width="12" bestFit="1" customWidth="1"/>
    <col min="78" max="78" width="11" bestFit="1" customWidth="1"/>
    <col min="79" max="79" width="12" bestFit="1" customWidth="1"/>
    <col min="80" max="80" width="11" bestFit="1" customWidth="1"/>
    <col min="81" max="108" width="12" bestFit="1" customWidth="1"/>
    <col min="109" max="110" width="11" bestFit="1" customWidth="1"/>
    <col min="111" max="125" width="12" bestFit="1" customWidth="1"/>
    <col min="126" max="126" width="11" bestFit="1" customWidth="1"/>
    <col min="127" max="132" width="12" bestFit="1" customWidth="1"/>
    <col min="133" max="133" width="11" bestFit="1" customWidth="1"/>
    <col min="134" max="136" width="12" bestFit="1" customWidth="1"/>
    <col min="137" max="137" width="11" bestFit="1" customWidth="1"/>
    <col min="138" max="149" width="12" bestFit="1" customWidth="1"/>
    <col min="150" max="150" width="11" bestFit="1" customWidth="1"/>
    <col min="151" max="162" width="12" bestFit="1" customWidth="1"/>
    <col min="163" max="164" width="11" bestFit="1" customWidth="1"/>
    <col min="165" max="176" width="12" bestFit="1" customWidth="1"/>
    <col min="177" max="178" width="11" bestFit="1" customWidth="1"/>
    <col min="179" max="214" width="12" bestFit="1" customWidth="1"/>
    <col min="215" max="215" width="11.28515625" bestFit="1" customWidth="1"/>
  </cols>
  <sheetData>
    <row r="1" spans="1:5" x14ac:dyDescent="0.25">
      <c r="A1" s="222" t="s">
        <v>54</v>
      </c>
      <c r="B1" s="139" t="s">
        <v>134</v>
      </c>
    </row>
    <row r="3" spans="1:5" x14ac:dyDescent="0.25">
      <c r="A3" s="222" t="s">
        <v>131</v>
      </c>
      <c r="B3" s="139" t="s">
        <v>133</v>
      </c>
      <c r="C3" s="139" t="s">
        <v>135</v>
      </c>
      <c r="D3" s="139" t="s">
        <v>136</v>
      </c>
      <c r="E3" s="139" t="s">
        <v>137</v>
      </c>
    </row>
    <row r="4" spans="1:5" x14ac:dyDescent="0.25">
      <c r="A4" s="110" t="s">
        <v>11</v>
      </c>
      <c r="B4" s="111">
        <v>4086072.4144136999</v>
      </c>
      <c r="C4" s="111">
        <v>2211174.2400000002</v>
      </c>
      <c r="D4" s="111">
        <v>800100</v>
      </c>
      <c r="E4" s="111">
        <v>19678.655999999999</v>
      </c>
    </row>
    <row r="5" spans="1:5" x14ac:dyDescent="0.25">
      <c r="A5" s="110" t="s">
        <v>21</v>
      </c>
      <c r="B5" s="111">
        <v>12323992.463321108</v>
      </c>
      <c r="C5" s="111">
        <v>2240847.5600000089</v>
      </c>
      <c r="D5" s="111">
        <v>1905134</v>
      </c>
      <c r="E5" s="111">
        <v>149736.30400000003</v>
      </c>
    </row>
    <row r="6" spans="1:5" x14ac:dyDescent="0.25">
      <c r="A6" s="110" t="s">
        <v>16</v>
      </c>
      <c r="B6" s="111">
        <v>24925350.68</v>
      </c>
      <c r="C6" s="111">
        <v>5631278.879999999</v>
      </c>
      <c r="D6" s="111">
        <v>2619791</v>
      </c>
      <c r="E6" s="111">
        <v>154471.15799999997</v>
      </c>
    </row>
    <row r="7" spans="1:5" x14ac:dyDescent="0.25">
      <c r="A7" s="110" t="s">
        <v>14</v>
      </c>
      <c r="B7" s="111">
        <v>3663901.4439451117</v>
      </c>
      <c r="C7" s="111">
        <v>1089528.96</v>
      </c>
      <c r="D7" s="111">
        <v>491823</v>
      </c>
      <c r="E7" s="111">
        <v>26364.820000000003</v>
      </c>
    </row>
    <row r="8" spans="1:5" x14ac:dyDescent="0.25">
      <c r="A8" s="110" t="s">
        <v>122</v>
      </c>
      <c r="B8" s="111">
        <v>10468890</v>
      </c>
      <c r="C8" s="111">
        <v>2823784</v>
      </c>
      <c r="D8" s="111">
        <v>1021894</v>
      </c>
      <c r="E8" s="111">
        <v>40545.660000000003</v>
      </c>
    </row>
    <row r="9" spans="1:5" x14ac:dyDescent="0.25">
      <c r="A9" s="110" t="s">
        <v>132</v>
      </c>
      <c r="B9" s="111">
        <v>55468207.00167992</v>
      </c>
      <c r="C9" s="111">
        <v>13996613.640000008</v>
      </c>
      <c r="D9" s="111">
        <v>6838742</v>
      </c>
      <c r="E9" s="111">
        <v>390796.598</v>
      </c>
    </row>
    <row r="10" spans="1:5" s="139" customFormat="1" x14ac:dyDescent="0.25">
      <c r="A10" s="110"/>
      <c r="B10" s="111"/>
      <c r="C10" s="111"/>
      <c r="D10" s="111"/>
      <c r="E10" s="111"/>
    </row>
    <row r="11" spans="1:5" s="139" customFormat="1" x14ac:dyDescent="0.25">
      <c r="A11" s="110"/>
      <c r="B11" s="111"/>
      <c r="C11" s="111"/>
      <c r="D11" s="111"/>
      <c r="E11" s="111"/>
    </row>
    <row r="12" spans="1:5" s="139" customFormat="1" x14ac:dyDescent="0.25">
      <c r="A12" s="222" t="s">
        <v>10</v>
      </c>
      <c r="B12" s="139" t="s">
        <v>21</v>
      </c>
      <c r="C12"/>
      <c r="D12" s="111"/>
      <c r="E12" s="111"/>
    </row>
    <row r="14" spans="1:5" x14ac:dyDescent="0.25">
      <c r="A14" s="222" t="s">
        <v>131</v>
      </c>
      <c r="B14" s="139" t="s">
        <v>133</v>
      </c>
      <c r="C14" s="139" t="s">
        <v>135</v>
      </c>
      <c r="D14" s="139" t="s">
        <v>136</v>
      </c>
      <c r="E14" s="139" t="s">
        <v>137</v>
      </c>
    </row>
    <row r="15" spans="1:5" x14ac:dyDescent="0.25">
      <c r="A15" s="110" t="s">
        <v>12</v>
      </c>
      <c r="B15" s="111">
        <v>1082359.1582956915</v>
      </c>
      <c r="C15" s="111">
        <v>229955.85799999992</v>
      </c>
      <c r="D15" s="111">
        <v>104165</v>
      </c>
      <c r="E15" s="111">
        <v>6891.4439999999995</v>
      </c>
    </row>
    <row r="16" spans="1:5" x14ac:dyDescent="0.25">
      <c r="A16" s="110" t="s">
        <v>140</v>
      </c>
      <c r="B16" s="111">
        <v>833156</v>
      </c>
      <c r="C16" s="111">
        <v>563125</v>
      </c>
      <c r="D16" s="111">
        <v>117252</v>
      </c>
      <c r="E16" s="111">
        <v>31763</v>
      </c>
    </row>
    <row r="17" spans="1:5" x14ac:dyDescent="0.25">
      <c r="A17" s="110" t="s">
        <v>129</v>
      </c>
      <c r="B17" s="111">
        <v>76298154</v>
      </c>
      <c r="C17" s="111">
        <v>7168431</v>
      </c>
      <c r="D17" s="111">
        <v>1977507</v>
      </c>
      <c r="E17" s="111">
        <v>1158967</v>
      </c>
    </row>
    <row r="18" spans="1:5" x14ac:dyDescent="0.25">
      <c r="A18" s="110" t="s">
        <v>128</v>
      </c>
      <c r="B18" s="111">
        <v>7007241</v>
      </c>
      <c r="C18" s="111">
        <v>957534</v>
      </c>
      <c r="D18" s="111">
        <v>243857</v>
      </c>
      <c r="E18" s="111">
        <v>109827</v>
      </c>
    </row>
    <row r="19" spans="1:5" x14ac:dyDescent="0.25">
      <c r="A19" s="110" t="s">
        <v>20</v>
      </c>
      <c r="B19" s="111">
        <v>8273052.9166937498</v>
      </c>
      <c r="C19" s="111">
        <v>1495757.4720000066</v>
      </c>
      <c r="D19" s="111">
        <v>1277639</v>
      </c>
      <c r="E19" s="111">
        <v>103097.87900000002</v>
      </c>
    </row>
    <row r="20" spans="1:5" x14ac:dyDescent="0.25">
      <c r="A20" s="110" t="s">
        <v>19</v>
      </c>
      <c r="B20" s="111">
        <v>4132413.925010561</v>
      </c>
      <c r="C20" s="111">
        <v>783010.25800001121</v>
      </c>
      <c r="D20" s="111">
        <v>760916</v>
      </c>
      <c r="E20" s="111">
        <v>53368.447666666674</v>
      </c>
    </row>
    <row r="21" spans="1:5" x14ac:dyDescent="0.25">
      <c r="A21" s="110" t="s">
        <v>132</v>
      </c>
      <c r="B21" s="111">
        <v>97626377</v>
      </c>
      <c r="C21" s="111">
        <v>11197813.588000016</v>
      </c>
      <c r="D21" s="111">
        <v>4481336</v>
      </c>
      <c r="E21" s="111">
        <v>1463914.7706666666</v>
      </c>
    </row>
    <row r="22" spans="1:5" s="139" customFormat="1" x14ac:dyDescent="0.25">
      <c r="A22"/>
      <c r="B22"/>
      <c r="C22" s="111"/>
      <c r="D22" s="111"/>
      <c r="E22" s="111"/>
    </row>
    <row r="23" spans="1:5" x14ac:dyDescent="0.25">
      <c r="A23" s="222" t="s">
        <v>54</v>
      </c>
      <c r="B23" s="139" t="s">
        <v>134</v>
      </c>
    </row>
    <row r="25" spans="1:5" x14ac:dyDescent="0.25">
      <c r="A25" s="222" t="s">
        <v>131</v>
      </c>
      <c r="B25" s="139" t="s">
        <v>133</v>
      </c>
      <c r="C25" s="139" t="s">
        <v>135</v>
      </c>
      <c r="D25" s="139" t="s">
        <v>136</v>
      </c>
      <c r="E25" s="139" t="s">
        <v>137</v>
      </c>
    </row>
    <row r="26" spans="1:5" x14ac:dyDescent="0.25">
      <c r="A26" s="110" t="s">
        <v>11</v>
      </c>
      <c r="B26" s="52">
        <v>4086072.4144136999</v>
      </c>
      <c r="C26" s="52">
        <v>2211174.2400000002</v>
      </c>
      <c r="D26" s="142">
        <v>800100</v>
      </c>
      <c r="E26" s="142">
        <v>19678.655999999999</v>
      </c>
    </row>
    <row r="27" spans="1:5" x14ac:dyDescent="0.25">
      <c r="A27" s="110" t="s">
        <v>18</v>
      </c>
      <c r="B27" s="52">
        <v>315107398.24290329</v>
      </c>
      <c r="C27" s="52">
        <v>62447797.619999982</v>
      </c>
      <c r="D27" s="142">
        <v>53574882.000000022</v>
      </c>
      <c r="E27" s="142">
        <v>1629004.8699999985</v>
      </c>
    </row>
    <row r="28" spans="1:5" x14ac:dyDescent="0.25">
      <c r="A28" s="110" t="s">
        <v>21</v>
      </c>
      <c r="B28" s="52">
        <v>13487825.999999996</v>
      </c>
      <c r="C28" s="52">
        <v>2508723.5880000177</v>
      </c>
      <c r="D28" s="142">
        <v>2142720</v>
      </c>
      <c r="E28" s="142">
        <v>163357.77066666668</v>
      </c>
    </row>
    <row r="29" spans="1:5" x14ac:dyDescent="0.25">
      <c r="A29" s="110" t="s">
        <v>16</v>
      </c>
      <c r="B29" s="52">
        <v>24925350.68</v>
      </c>
      <c r="C29" s="52">
        <v>5631278.879999999</v>
      </c>
      <c r="D29" s="142">
        <v>2619791</v>
      </c>
      <c r="E29" s="142">
        <v>154471.15799999997</v>
      </c>
    </row>
    <row r="30" spans="1:5" x14ac:dyDescent="0.25">
      <c r="A30" s="110" t="s">
        <v>14</v>
      </c>
      <c r="B30" s="52">
        <v>3663901.4439451117</v>
      </c>
      <c r="C30" s="52">
        <v>1089528.96</v>
      </c>
      <c r="D30" s="142">
        <v>491823</v>
      </c>
      <c r="E30" s="142">
        <v>26364.820000000003</v>
      </c>
    </row>
    <row r="31" spans="1:5" x14ac:dyDescent="0.25">
      <c r="A31" s="110" t="s">
        <v>122</v>
      </c>
      <c r="B31" s="52">
        <v>10468890</v>
      </c>
      <c r="C31" s="52">
        <v>2823784</v>
      </c>
      <c r="D31" s="142">
        <v>1021894</v>
      </c>
      <c r="E31" s="142">
        <v>40545.660000000003</v>
      </c>
    </row>
    <row r="32" spans="1:5" x14ac:dyDescent="0.25">
      <c r="A32" s="110" t="s">
        <v>132</v>
      </c>
      <c r="B32" s="52">
        <v>371739438.7812621</v>
      </c>
      <c r="C32" s="52">
        <v>76712287.287999988</v>
      </c>
      <c r="D32" s="142">
        <v>60651210.000000022</v>
      </c>
      <c r="E32" s="142">
        <v>2033422.934666665</v>
      </c>
    </row>
    <row r="35" spans="1:5" x14ac:dyDescent="0.25">
      <c r="A35" s="222" t="s">
        <v>54</v>
      </c>
      <c r="B35" s="139" t="s">
        <v>23</v>
      </c>
      <c r="C35" s="139"/>
      <c r="D35" s="139"/>
      <c r="E35" s="139"/>
    </row>
    <row r="36" spans="1:5" x14ac:dyDescent="0.25">
      <c r="A36" s="139"/>
      <c r="B36" s="139"/>
      <c r="C36" s="139"/>
      <c r="D36" s="139"/>
      <c r="E36" s="139"/>
    </row>
    <row r="37" spans="1:5" x14ac:dyDescent="0.25">
      <c r="A37" s="222" t="s">
        <v>131</v>
      </c>
      <c r="B37" s="139" t="s">
        <v>133</v>
      </c>
      <c r="C37" s="139" t="s">
        <v>135</v>
      </c>
      <c r="D37" s="139" t="s">
        <v>136</v>
      </c>
      <c r="E37" s="139" t="s">
        <v>137</v>
      </c>
    </row>
    <row r="38" spans="1:5" x14ac:dyDescent="0.25">
      <c r="A38" s="110" t="s">
        <v>18</v>
      </c>
      <c r="B38" s="52">
        <v>16213832.869999999</v>
      </c>
      <c r="C38" s="52">
        <v>2631694.7699999996</v>
      </c>
      <c r="D38" s="142">
        <v>787327.2</v>
      </c>
      <c r="E38" s="142">
        <v>3191.08</v>
      </c>
    </row>
    <row r="39" spans="1:5" x14ac:dyDescent="0.25">
      <c r="A39" s="110" t="s">
        <v>132</v>
      </c>
      <c r="B39" s="52">
        <v>16213832.869999999</v>
      </c>
      <c r="C39" s="52">
        <v>2631694.7699999996</v>
      </c>
      <c r="D39" s="142">
        <v>787327.2</v>
      </c>
      <c r="E39" s="142">
        <v>3191.08</v>
      </c>
    </row>
    <row r="41" spans="1:5" x14ac:dyDescent="0.25">
      <c r="A41" s="222" t="s">
        <v>10</v>
      </c>
      <c r="B41" s="139" t="s">
        <v>18</v>
      </c>
    </row>
    <row r="43" spans="1:5" x14ac:dyDescent="0.25">
      <c r="A43" s="222" t="s">
        <v>131</v>
      </c>
      <c r="B43" s="139" t="s">
        <v>133</v>
      </c>
      <c r="C43" s="139" t="s">
        <v>135</v>
      </c>
      <c r="D43" s="139" t="s">
        <v>136</v>
      </c>
      <c r="E43" s="139" t="s">
        <v>137</v>
      </c>
    </row>
    <row r="44" spans="1:5" x14ac:dyDescent="0.25">
      <c r="A44" s="110" t="s">
        <v>23</v>
      </c>
      <c r="B44" s="111">
        <v>16213832.869999999</v>
      </c>
      <c r="C44" s="111">
        <v>2631694.7699999996</v>
      </c>
      <c r="D44" s="111">
        <v>787327.2</v>
      </c>
      <c r="E44" s="111">
        <v>3191.08</v>
      </c>
    </row>
    <row r="45" spans="1:5" x14ac:dyDescent="0.25">
      <c r="A45" s="110" t="s">
        <v>22</v>
      </c>
      <c r="B45" s="111">
        <v>73123679.554999992</v>
      </c>
      <c r="C45" s="111">
        <v>26713177.090000004</v>
      </c>
      <c r="D45" s="111">
        <v>24955617.799999997</v>
      </c>
      <c r="E45" s="111">
        <v>117620.72999999998</v>
      </c>
    </row>
    <row r="46" spans="1:5" x14ac:dyDescent="0.25">
      <c r="A46" s="110" t="s">
        <v>132</v>
      </c>
      <c r="B46" s="111">
        <v>89337512.424999997</v>
      </c>
      <c r="C46" s="111">
        <v>29344871.860000003</v>
      </c>
      <c r="D46" s="111">
        <v>25742944.999999996</v>
      </c>
      <c r="E46" s="111">
        <v>120811.80999999998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02F8-97AF-4101-A707-B5250B1CBFE8}">
  <sheetPr>
    <pageSetUpPr fitToPage="1"/>
  </sheetPr>
  <dimension ref="B1:Q106"/>
  <sheetViews>
    <sheetView workbookViewId="0">
      <selection activeCell="L8" sqref="L8"/>
    </sheetView>
  </sheetViews>
  <sheetFormatPr defaultRowHeight="15" x14ac:dyDescent="0.25"/>
  <cols>
    <col min="1" max="1" width="2.140625" style="139" customWidth="1"/>
    <col min="2" max="2" width="10.42578125" style="139" customWidth="1"/>
    <col min="3" max="3" width="10.7109375" style="139" customWidth="1"/>
    <col min="4" max="4" width="9.7109375" style="139" customWidth="1"/>
    <col min="5" max="5" width="11.28515625" style="139" customWidth="1"/>
    <col min="6" max="6" width="30.28515625" style="139" bestFit="1" customWidth="1"/>
    <col min="7" max="8" width="7.140625" style="265" customWidth="1"/>
    <col min="9" max="9" width="7.140625" style="139" bestFit="1" customWidth="1"/>
    <col min="10" max="10" width="9.140625" style="139"/>
    <col min="11" max="11" width="26.28515625" style="139" customWidth="1"/>
    <col min="12" max="16384" width="9.140625" style="139"/>
  </cols>
  <sheetData>
    <row r="1" spans="2:17" ht="18.75" x14ac:dyDescent="0.3">
      <c r="B1" s="275" t="s">
        <v>70</v>
      </c>
      <c r="C1" s="275"/>
      <c r="D1" s="275"/>
      <c r="E1" s="275"/>
      <c r="F1" s="275"/>
      <c r="G1" s="275"/>
      <c r="H1" s="275"/>
      <c r="I1" s="275"/>
      <c r="K1" s="275" t="s">
        <v>83</v>
      </c>
      <c r="L1" s="275"/>
      <c r="M1" s="275"/>
      <c r="N1" s="275"/>
      <c r="O1" s="275"/>
      <c r="P1" s="275"/>
      <c r="Q1" s="275"/>
    </row>
    <row r="2" spans="2:17" ht="18.75" customHeight="1" x14ac:dyDescent="0.3">
      <c r="B2" s="275">
        <v>2017</v>
      </c>
      <c r="C2" s="275"/>
      <c r="D2" s="275"/>
      <c r="E2" s="275"/>
      <c r="F2" s="275"/>
      <c r="G2" s="275"/>
      <c r="H2" s="275"/>
      <c r="I2" s="275"/>
      <c r="K2" s="275">
        <v>2017</v>
      </c>
      <c r="L2" s="275"/>
      <c r="M2" s="275"/>
      <c r="N2" s="275"/>
      <c r="O2" s="275"/>
      <c r="P2" s="275"/>
      <c r="Q2" s="275"/>
    </row>
    <row r="3" spans="2:17" s="13" customFormat="1" ht="9" customHeight="1" thickBot="1" x14ac:dyDescent="0.35">
      <c r="B3" s="274"/>
      <c r="C3" s="274"/>
      <c r="D3" s="274"/>
      <c r="E3" s="274"/>
      <c r="F3" s="274"/>
      <c r="G3" s="274"/>
      <c r="H3" s="274"/>
      <c r="I3" s="274"/>
    </row>
    <row r="4" spans="2:17" s="13" customFormat="1" ht="15" customHeight="1" x14ac:dyDescent="0.25">
      <c r="B4" s="288" t="s">
        <v>62</v>
      </c>
      <c r="C4" s="290" t="s">
        <v>1</v>
      </c>
      <c r="D4" s="292" t="s">
        <v>63</v>
      </c>
      <c r="E4" s="279" t="s">
        <v>64</v>
      </c>
      <c r="F4" s="280"/>
      <c r="G4" s="280"/>
      <c r="H4" s="280"/>
      <c r="I4" s="281"/>
      <c r="K4" s="172"/>
      <c r="L4" s="276" t="s">
        <v>7</v>
      </c>
      <c r="M4" s="276"/>
      <c r="N4" s="276" t="s">
        <v>8</v>
      </c>
      <c r="O4" s="276"/>
      <c r="P4" s="277" t="s">
        <v>9</v>
      </c>
      <c r="Q4" s="278"/>
    </row>
    <row r="5" spans="2:17" ht="45.75" thickBot="1" x14ac:dyDescent="0.3">
      <c r="B5" s="289"/>
      <c r="C5" s="291"/>
      <c r="D5" s="293"/>
      <c r="E5" s="171" t="s">
        <v>65</v>
      </c>
      <c r="F5" s="168" t="s">
        <v>66</v>
      </c>
      <c r="G5" s="170" t="s">
        <v>73</v>
      </c>
      <c r="H5" s="170" t="s">
        <v>74</v>
      </c>
      <c r="I5" s="169" t="s">
        <v>72</v>
      </c>
      <c r="K5" s="173" t="s">
        <v>75</v>
      </c>
      <c r="L5" s="174" t="s">
        <v>76</v>
      </c>
      <c r="M5" s="175" t="s">
        <v>77</v>
      </c>
      <c r="N5" s="174" t="s">
        <v>76</v>
      </c>
      <c r="O5" s="175" t="s">
        <v>77</v>
      </c>
      <c r="P5" s="174" t="s">
        <v>76</v>
      </c>
      <c r="Q5" s="176" t="s">
        <v>77</v>
      </c>
    </row>
    <row r="6" spans="2:17" x14ac:dyDescent="0.25">
      <c r="B6" s="283" t="s">
        <v>67</v>
      </c>
      <c r="C6" s="301" t="s">
        <v>7</v>
      </c>
      <c r="D6" s="286">
        <v>6.91</v>
      </c>
      <c r="E6" s="143" t="s">
        <v>71</v>
      </c>
      <c r="F6" s="7" t="s">
        <v>68</v>
      </c>
      <c r="G6" s="167"/>
      <c r="H6" s="146">
        <f>ROUND(G7-0.01,2)</f>
        <v>8.2799999999999994</v>
      </c>
      <c r="I6" s="196">
        <f>127-I7-I8-I9</f>
        <v>97</v>
      </c>
      <c r="K6" s="200" t="s">
        <v>78</v>
      </c>
      <c r="L6" s="201">
        <v>31</v>
      </c>
      <c r="M6" s="202">
        <v>2</v>
      </c>
      <c r="N6" s="201">
        <v>22</v>
      </c>
      <c r="O6" s="202">
        <v>5</v>
      </c>
      <c r="P6" s="203">
        <v>20</v>
      </c>
      <c r="Q6" s="196">
        <v>5</v>
      </c>
    </row>
    <row r="7" spans="2:17" x14ac:dyDescent="0.25">
      <c r="B7" s="283"/>
      <c r="C7" s="301"/>
      <c r="D7" s="286"/>
      <c r="E7" s="143">
        <v>1</v>
      </c>
      <c r="F7" s="7" t="s">
        <v>94</v>
      </c>
      <c r="G7" s="146">
        <f>+D6*1.2</f>
        <v>8.2919999999999998</v>
      </c>
      <c r="H7" s="192">
        <f>+G8-0.01</f>
        <v>9.32</v>
      </c>
      <c r="I7" s="196">
        <v>7</v>
      </c>
      <c r="K7" s="200" t="s">
        <v>79</v>
      </c>
      <c r="L7" s="204">
        <v>12</v>
      </c>
      <c r="M7" s="205">
        <v>2</v>
      </c>
      <c r="N7" s="204">
        <v>5</v>
      </c>
      <c r="O7" s="205">
        <v>5</v>
      </c>
      <c r="P7" s="203">
        <v>2</v>
      </c>
      <c r="Q7" s="196">
        <v>8</v>
      </c>
    </row>
    <row r="8" spans="2:17" x14ac:dyDescent="0.25">
      <c r="B8" s="283"/>
      <c r="C8" s="301"/>
      <c r="D8" s="286"/>
      <c r="E8" s="143">
        <v>2</v>
      </c>
      <c r="F8" s="7" t="s">
        <v>95</v>
      </c>
      <c r="G8" s="146">
        <f>ROUND(D6*1.35,2)</f>
        <v>9.33</v>
      </c>
      <c r="H8" s="192">
        <f>+G9-0.01</f>
        <v>11.05</v>
      </c>
      <c r="I8" s="196">
        <v>4</v>
      </c>
      <c r="K8" s="200" t="s">
        <v>80</v>
      </c>
      <c r="L8" s="204">
        <f>39-14</f>
        <v>25</v>
      </c>
      <c r="M8" s="205">
        <v>14</v>
      </c>
      <c r="N8" s="204">
        <v>12</v>
      </c>
      <c r="O8" s="205">
        <v>7</v>
      </c>
      <c r="P8" s="203">
        <v>9</v>
      </c>
      <c r="Q8" s="196">
        <v>4</v>
      </c>
    </row>
    <row r="9" spans="2:17" ht="15.75" thickBot="1" x14ac:dyDescent="0.3">
      <c r="B9" s="303"/>
      <c r="C9" s="304"/>
      <c r="D9" s="305"/>
      <c r="E9" s="144">
        <v>3</v>
      </c>
      <c r="F9" s="145" t="s">
        <v>96</v>
      </c>
      <c r="G9" s="146">
        <f>ROUND(D6*1.6,2)</f>
        <v>11.06</v>
      </c>
      <c r="H9" s="147"/>
      <c r="I9" s="198">
        <v>19</v>
      </c>
      <c r="K9" s="200" t="s">
        <v>55</v>
      </c>
      <c r="L9" s="204">
        <v>1</v>
      </c>
      <c r="M9" s="205">
        <v>0</v>
      </c>
      <c r="N9" s="204">
        <v>1</v>
      </c>
      <c r="O9" s="205">
        <v>0</v>
      </c>
      <c r="P9" s="203">
        <v>1</v>
      </c>
      <c r="Q9" s="196">
        <v>0</v>
      </c>
    </row>
    <row r="10" spans="2:17" x14ac:dyDescent="0.25">
      <c r="B10" s="282" t="s">
        <v>67</v>
      </c>
      <c r="C10" s="300" t="s">
        <v>8</v>
      </c>
      <c r="D10" s="285">
        <v>30.32</v>
      </c>
      <c r="E10" s="143" t="s">
        <v>71</v>
      </c>
      <c r="F10" s="7" t="s">
        <v>68</v>
      </c>
      <c r="G10" s="148"/>
      <c r="H10" s="149">
        <f>ROUND(G11-0.01,2)</f>
        <v>36.369999999999997</v>
      </c>
      <c r="I10" s="195">
        <v>4</v>
      </c>
      <c r="K10" s="200" t="s">
        <v>43</v>
      </c>
      <c r="L10" s="204">
        <v>0</v>
      </c>
      <c r="M10" s="205">
        <v>1</v>
      </c>
      <c r="N10" s="204">
        <v>1</v>
      </c>
      <c r="O10" s="205">
        <v>0</v>
      </c>
      <c r="P10" s="203">
        <v>0</v>
      </c>
      <c r="Q10" s="196">
        <v>1</v>
      </c>
    </row>
    <row r="11" spans="2:17" x14ac:dyDescent="0.25">
      <c r="B11" s="283"/>
      <c r="C11" s="301"/>
      <c r="D11" s="286"/>
      <c r="E11" s="143">
        <v>1</v>
      </c>
      <c r="F11" s="7" t="s">
        <v>94</v>
      </c>
      <c r="G11" s="146">
        <f>+D10*1.2</f>
        <v>36.384</v>
      </c>
      <c r="H11" s="192">
        <f>+G12-0.01</f>
        <v>40.92</v>
      </c>
      <c r="I11" s="196">
        <v>0</v>
      </c>
      <c r="K11" s="200" t="s">
        <v>81</v>
      </c>
      <c r="L11" s="204">
        <v>2</v>
      </c>
      <c r="M11" s="205">
        <v>0</v>
      </c>
      <c r="N11" s="204">
        <v>2</v>
      </c>
      <c r="O11" s="205">
        <v>0</v>
      </c>
      <c r="P11" s="203">
        <v>2</v>
      </c>
      <c r="Q11" s="196">
        <v>0</v>
      </c>
    </row>
    <row r="12" spans="2:17" x14ac:dyDescent="0.25">
      <c r="B12" s="283"/>
      <c r="C12" s="301"/>
      <c r="D12" s="286"/>
      <c r="E12" s="143">
        <v>2</v>
      </c>
      <c r="F12" s="7" t="s">
        <v>95</v>
      </c>
      <c r="G12" s="146">
        <f>ROUND(D10*1.35,2)</f>
        <v>40.93</v>
      </c>
      <c r="H12" s="192">
        <f>+G13-0.01</f>
        <v>48.5</v>
      </c>
      <c r="I12" s="196">
        <v>0</v>
      </c>
      <c r="K12" s="295" t="s">
        <v>85</v>
      </c>
      <c r="L12" s="296">
        <f>127-M12</f>
        <v>88</v>
      </c>
      <c r="M12" s="294">
        <v>39</v>
      </c>
      <c r="N12" s="296">
        <v>0</v>
      </c>
      <c r="O12" s="294">
        <v>5</v>
      </c>
      <c r="P12" s="296">
        <v>0</v>
      </c>
      <c r="Q12" s="306">
        <v>4</v>
      </c>
    </row>
    <row r="13" spans="2:17" ht="15.75" thickBot="1" x14ac:dyDescent="0.3">
      <c r="B13" s="303"/>
      <c r="C13" s="304"/>
      <c r="D13" s="305"/>
      <c r="E13" s="144">
        <v>3</v>
      </c>
      <c r="F13" s="145" t="s">
        <v>96</v>
      </c>
      <c r="G13" s="146">
        <f>ROUND(D10*1.6,2)</f>
        <v>48.51</v>
      </c>
      <c r="H13" s="147"/>
      <c r="I13" s="198">
        <v>1</v>
      </c>
      <c r="K13" s="295"/>
      <c r="L13" s="296"/>
      <c r="M13" s="294"/>
      <c r="N13" s="296"/>
      <c r="O13" s="294"/>
      <c r="P13" s="296"/>
      <c r="Q13" s="306"/>
    </row>
    <row r="14" spans="2:17" x14ac:dyDescent="0.25">
      <c r="B14" s="282" t="s">
        <v>67</v>
      </c>
      <c r="C14" s="300" t="s">
        <v>9</v>
      </c>
      <c r="D14" s="285">
        <v>30.32</v>
      </c>
      <c r="E14" s="143" t="s">
        <v>71</v>
      </c>
      <c r="F14" s="7" t="s">
        <v>68</v>
      </c>
      <c r="G14" s="148"/>
      <c r="H14" s="149">
        <f>ROUND(G15-0.01,2)</f>
        <v>36.369999999999997</v>
      </c>
      <c r="I14" s="195">
        <v>3</v>
      </c>
      <c r="K14" s="200" t="s">
        <v>23</v>
      </c>
      <c r="L14" s="204">
        <v>1</v>
      </c>
      <c r="M14" s="205">
        <v>0</v>
      </c>
      <c r="N14" s="204">
        <v>1</v>
      </c>
      <c r="O14" s="205">
        <v>0</v>
      </c>
      <c r="P14" s="203">
        <v>1</v>
      </c>
      <c r="Q14" s="196">
        <v>0</v>
      </c>
    </row>
    <row r="15" spans="2:17" ht="15.75" thickBot="1" x14ac:dyDescent="0.3">
      <c r="B15" s="283"/>
      <c r="C15" s="301"/>
      <c r="D15" s="286"/>
      <c r="E15" s="143">
        <v>1</v>
      </c>
      <c r="F15" s="7" t="s">
        <v>94</v>
      </c>
      <c r="G15" s="146">
        <f>+D14*1.2</f>
        <v>36.384</v>
      </c>
      <c r="H15" s="192">
        <f>+G16-0.01</f>
        <v>40.92</v>
      </c>
      <c r="I15" s="196">
        <v>0</v>
      </c>
      <c r="K15" s="206" t="s">
        <v>82</v>
      </c>
      <c r="L15" s="207">
        <v>4</v>
      </c>
      <c r="M15" s="208">
        <v>0</v>
      </c>
      <c r="N15" s="207" t="s">
        <v>84</v>
      </c>
      <c r="O15" s="208" t="s">
        <v>84</v>
      </c>
      <c r="P15" s="209" t="s">
        <v>84</v>
      </c>
      <c r="Q15" s="197" t="s">
        <v>84</v>
      </c>
    </row>
    <row r="16" spans="2:17" x14ac:dyDescent="0.25">
      <c r="B16" s="283"/>
      <c r="C16" s="301"/>
      <c r="D16" s="286"/>
      <c r="E16" s="143">
        <v>2</v>
      </c>
      <c r="F16" s="7" t="s">
        <v>95</v>
      </c>
      <c r="G16" s="146">
        <f>ROUND(D14*1.35,2)</f>
        <v>40.93</v>
      </c>
      <c r="H16" s="192">
        <f>+G17-0.01</f>
        <v>48.5</v>
      </c>
      <c r="I16" s="196">
        <v>0</v>
      </c>
    </row>
    <row r="17" spans="2:9" ht="15.75" thickBot="1" x14ac:dyDescent="0.3">
      <c r="B17" s="284"/>
      <c r="C17" s="302"/>
      <c r="D17" s="287"/>
      <c r="E17" s="150">
        <v>3</v>
      </c>
      <c r="F17" s="151" t="s">
        <v>96</v>
      </c>
      <c r="G17" s="146">
        <f>ROUND(D14*1.6,2)</f>
        <v>48.51</v>
      </c>
      <c r="H17" s="147"/>
      <c r="I17" s="197">
        <v>1</v>
      </c>
    </row>
    <row r="18" spans="2:9" x14ac:dyDescent="0.25">
      <c r="B18" s="307" t="s">
        <v>24</v>
      </c>
      <c r="C18" s="308" t="s">
        <v>7</v>
      </c>
      <c r="D18" s="309">
        <v>4.51</v>
      </c>
      <c r="E18" s="143" t="s">
        <v>71</v>
      </c>
      <c r="F18" s="7" t="s">
        <v>68</v>
      </c>
      <c r="G18" s="148"/>
      <c r="H18" s="149">
        <f>ROUND(G19-0.01,2)</f>
        <v>5.4</v>
      </c>
      <c r="I18" s="199">
        <f>33-I19-I20-I21</f>
        <v>26</v>
      </c>
    </row>
    <row r="19" spans="2:9" x14ac:dyDescent="0.25">
      <c r="B19" s="283"/>
      <c r="C19" s="301"/>
      <c r="D19" s="286"/>
      <c r="E19" s="143">
        <v>1</v>
      </c>
      <c r="F19" s="7" t="s">
        <v>94</v>
      </c>
      <c r="G19" s="146">
        <f>+D18*1.2</f>
        <v>5.4119999999999999</v>
      </c>
      <c r="H19" s="192">
        <f>+G20-0.01</f>
        <v>6.08</v>
      </c>
      <c r="I19" s="196">
        <v>0</v>
      </c>
    </row>
    <row r="20" spans="2:9" x14ac:dyDescent="0.25">
      <c r="B20" s="283"/>
      <c r="C20" s="301"/>
      <c r="D20" s="286"/>
      <c r="E20" s="143">
        <v>2</v>
      </c>
      <c r="F20" s="7" t="s">
        <v>95</v>
      </c>
      <c r="G20" s="146">
        <f>ROUND(D18*1.35,2)</f>
        <v>6.09</v>
      </c>
      <c r="H20" s="192">
        <f>+G21-0.01</f>
        <v>7.21</v>
      </c>
      <c r="I20" s="196">
        <v>5</v>
      </c>
    </row>
    <row r="21" spans="2:9" ht="15.75" thickBot="1" x14ac:dyDescent="0.3">
      <c r="B21" s="303"/>
      <c r="C21" s="304"/>
      <c r="D21" s="305"/>
      <c r="E21" s="144">
        <v>3</v>
      </c>
      <c r="F21" s="145" t="s">
        <v>96</v>
      </c>
      <c r="G21" s="146">
        <f>ROUND(D18*1.6,2)</f>
        <v>7.22</v>
      </c>
      <c r="H21" s="147"/>
      <c r="I21" s="198">
        <v>2</v>
      </c>
    </row>
    <row r="22" spans="2:9" x14ac:dyDescent="0.25">
      <c r="B22" s="282" t="s">
        <v>24</v>
      </c>
      <c r="C22" s="300" t="s">
        <v>8</v>
      </c>
      <c r="D22" s="285">
        <v>6.22</v>
      </c>
      <c r="E22" s="143" t="s">
        <v>71</v>
      </c>
      <c r="F22" s="7" t="s">
        <v>68</v>
      </c>
      <c r="G22" s="148"/>
      <c r="H22" s="149">
        <f>ROUND(G23-0.01,2)</f>
        <v>7.45</v>
      </c>
      <c r="I22" s="195">
        <f>27-I23-I24-I25</f>
        <v>22</v>
      </c>
    </row>
    <row r="23" spans="2:9" x14ac:dyDescent="0.25">
      <c r="B23" s="283"/>
      <c r="C23" s="301"/>
      <c r="D23" s="286"/>
      <c r="E23" s="143">
        <v>1</v>
      </c>
      <c r="F23" s="7" t="s">
        <v>94</v>
      </c>
      <c r="G23" s="146">
        <f>+D22*1.2</f>
        <v>7.4639999999999995</v>
      </c>
      <c r="H23" s="192">
        <f>+G24-0.01</f>
        <v>8.39</v>
      </c>
      <c r="I23" s="196">
        <v>1</v>
      </c>
    </row>
    <row r="24" spans="2:9" x14ac:dyDescent="0.25">
      <c r="B24" s="283"/>
      <c r="C24" s="301"/>
      <c r="D24" s="286"/>
      <c r="E24" s="143">
        <v>2</v>
      </c>
      <c r="F24" s="7" t="s">
        <v>95</v>
      </c>
      <c r="G24" s="146">
        <f>ROUND(D22*1.35,2)</f>
        <v>8.4</v>
      </c>
      <c r="H24" s="192">
        <f>+G25-0.01</f>
        <v>9.94</v>
      </c>
      <c r="I24" s="196">
        <v>1</v>
      </c>
    </row>
    <row r="25" spans="2:9" ht="15.75" thickBot="1" x14ac:dyDescent="0.3">
      <c r="B25" s="303"/>
      <c r="C25" s="304"/>
      <c r="D25" s="305"/>
      <c r="E25" s="144">
        <v>3</v>
      </c>
      <c r="F25" s="145" t="s">
        <v>96</v>
      </c>
      <c r="G25" s="146">
        <f>ROUND(D22*1.6,2)</f>
        <v>9.9499999999999993</v>
      </c>
      <c r="H25" s="147"/>
      <c r="I25" s="198">
        <v>3</v>
      </c>
    </row>
    <row r="26" spans="2:9" x14ac:dyDescent="0.25">
      <c r="B26" s="282" t="s">
        <v>24</v>
      </c>
      <c r="C26" s="300" t="s">
        <v>9</v>
      </c>
      <c r="D26" s="285">
        <v>6.35</v>
      </c>
      <c r="E26" s="143" t="s">
        <v>71</v>
      </c>
      <c r="F26" s="7" t="s">
        <v>68</v>
      </c>
      <c r="G26" s="148"/>
      <c r="H26" s="149">
        <f>ROUND(G27-0.01,2)</f>
        <v>7.61</v>
      </c>
      <c r="I26" s="195">
        <f>25-I27-I28-I29</f>
        <v>19</v>
      </c>
    </row>
    <row r="27" spans="2:9" x14ac:dyDescent="0.25">
      <c r="B27" s="283"/>
      <c r="C27" s="301"/>
      <c r="D27" s="286"/>
      <c r="E27" s="143">
        <v>1</v>
      </c>
      <c r="F27" s="7" t="s">
        <v>94</v>
      </c>
      <c r="G27" s="146">
        <f>+D26*1.2</f>
        <v>7.6199999999999992</v>
      </c>
      <c r="H27" s="192">
        <f>+G28-0.01</f>
        <v>8.56</v>
      </c>
      <c r="I27" s="196">
        <v>2</v>
      </c>
    </row>
    <row r="28" spans="2:9" x14ac:dyDescent="0.25">
      <c r="B28" s="283"/>
      <c r="C28" s="301"/>
      <c r="D28" s="286"/>
      <c r="E28" s="143">
        <v>2</v>
      </c>
      <c r="F28" s="7" t="s">
        <v>95</v>
      </c>
      <c r="G28" s="146">
        <f>ROUND(D26*1.35,2)</f>
        <v>8.57</v>
      </c>
      <c r="H28" s="192">
        <f>+G29-0.01</f>
        <v>10.15</v>
      </c>
      <c r="I28" s="196">
        <v>1</v>
      </c>
    </row>
    <row r="29" spans="2:9" ht="15.75" thickBot="1" x14ac:dyDescent="0.3">
      <c r="B29" s="284"/>
      <c r="C29" s="302"/>
      <c r="D29" s="287"/>
      <c r="E29" s="150">
        <v>3</v>
      </c>
      <c r="F29" s="151" t="s">
        <v>96</v>
      </c>
      <c r="G29" s="146">
        <f>ROUND(D26*1.6,2)</f>
        <v>10.16</v>
      </c>
      <c r="H29" s="147"/>
      <c r="I29" s="197">
        <v>3</v>
      </c>
    </row>
    <row r="30" spans="2:9" x14ac:dyDescent="0.25">
      <c r="B30" s="307" t="s">
        <v>19</v>
      </c>
      <c r="C30" s="308" t="s">
        <v>7</v>
      </c>
      <c r="D30" s="309">
        <v>6.75</v>
      </c>
      <c r="E30" s="143" t="s">
        <v>71</v>
      </c>
      <c r="F30" s="7" t="s">
        <v>68</v>
      </c>
      <c r="G30" s="148"/>
      <c r="H30" s="149">
        <f>ROUND(G31-0.01,2)</f>
        <v>8.09</v>
      </c>
      <c r="I30" s="199">
        <f>14-I31-I32-I33</f>
        <v>9</v>
      </c>
    </row>
    <row r="31" spans="2:9" x14ac:dyDescent="0.25">
      <c r="B31" s="283"/>
      <c r="C31" s="301"/>
      <c r="D31" s="286"/>
      <c r="E31" s="143">
        <v>1</v>
      </c>
      <c r="F31" s="7" t="s">
        <v>94</v>
      </c>
      <c r="G31" s="146">
        <f>+D30*1.2</f>
        <v>8.1</v>
      </c>
      <c r="H31" s="192">
        <f>+G32-0.01</f>
        <v>9.1</v>
      </c>
      <c r="I31" s="196">
        <v>2</v>
      </c>
    </row>
    <row r="32" spans="2:9" x14ac:dyDescent="0.25">
      <c r="B32" s="283"/>
      <c r="C32" s="301"/>
      <c r="D32" s="286"/>
      <c r="E32" s="143">
        <v>2</v>
      </c>
      <c r="F32" s="7" t="s">
        <v>95</v>
      </c>
      <c r="G32" s="146">
        <f>ROUND(D30*1.35,2)</f>
        <v>9.11</v>
      </c>
      <c r="H32" s="192">
        <f>+G33-0.01</f>
        <v>10.790000000000001</v>
      </c>
      <c r="I32" s="196">
        <v>2</v>
      </c>
    </row>
    <row r="33" spans="2:9" ht="15.75" thickBot="1" x14ac:dyDescent="0.3">
      <c r="B33" s="303"/>
      <c r="C33" s="304"/>
      <c r="D33" s="305"/>
      <c r="E33" s="144">
        <v>3</v>
      </c>
      <c r="F33" s="145" t="s">
        <v>96</v>
      </c>
      <c r="G33" s="146">
        <f>ROUND(D30*1.6,2)</f>
        <v>10.8</v>
      </c>
      <c r="H33" s="147"/>
      <c r="I33" s="198">
        <v>1</v>
      </c>
    </row>
    <row r="34" spans="2:9" x14ac:dyDescent="0.25">
      <c r="B34" s="282" t="s">
        <v>19</v>
      </c>
      <c r="C34" s="300" t="s">
        <v>8</v>
      </c>
      <c r="D34" s="285">
        <v>8.35</v>
      </c>
      <c r="E34" s="143" t="s">
        <v>71</v>
      </c>
      <c r="F34" s="7" t="s">
        <v>68</v>
      </c>
      <c r="G34" s="148"/>
      <c r="H34" s="149">
        <f>ROUND(G35-0.01,2)</f>
        <v>10.01</v>
      </c>
      <c r="I34" s="195">
        <f>10-I35-I36-I37</f>
        <v>5</v>
      </c>
    </row>
    <row r="35" spans="2:9" x14ac:dyDescent="0.25">
      <c r="B35" s="283"/>
      <c r="C35" s="301"/>
      <c r="D35" s="286"/>
      <c r="E35" s="143">
        <v>1</v>
      </c>
      <c r="F35" s="7" t="s">
        <v>94</v>
      </c>
      <c r="G35" s="146">
        <f>+D34*1.2</f>
        <v>10.02</v>
      </c>
      <c r="H35" s="192">
        <f>+G36-0.01</f>
        <v>11.26</v>
      </c>
      <c r="I35" s="196">
        <v>3</v>
      </c>
    </row>
    <row r="36" spans="2:9" x14ac:dyDescent="0.25">
      <c r="B36" s="283"/>
      <c r="C36" s="301"/>
      <c r="D36" s="286"/>
      <c r="E36" s="143">
        <v>2</v>
      </c>
      <c r="F36" s="7" t="s">
        <v>95</v>
      </c>
      <c r="G36" s="146">
        <f>ROUND(D34*1.35,2)</f>
        <v>11.27</v>
      </c>
      <c r="H36" s="192">
        <f>+G37-0.01</f>
        <v>13.35</v>
      </c>
      <c r="I36" s="196">
        <v>2</v>
      </c>
    </row>
    <row r="37" spans="2:9" ht="15.75" thickBot="1" x14ac:dyDescent="0.3">
      <c r="B37" s="303"/>
      <c r="C37" s="304"/>
      <c r="D37" s="305"/>
      <c r="E37" s="144">
        <v>3</v>
      </c>
      <c r="F37" s="145" t="s">
        <v>96</v>
      </c>
      <c r="G37" s="146">
        <f>ROUND(D34*1.6,2)</f>
        <v>13.36</v>
      </c>
      <c r="H37" s="147"/>
      <c r="I37" s="198">
        <v>0</v>
      </c>
    </row>
    <row r="38" spans="2:9" x14ac:dyDescent="0.25">
      <c r="B38" s="282" t="s">
        <v>19</v>
      </c>
      <c r="C38" s="300" t="s">
        <v>9</v>
      </c>
      <c r="D38" s="285">
        <v>10.38</v>
      </c>
      <c r="E38" s="143" t="s">
        <v>71</v>
      </c>
      <c r="F38" s="7" t="s">
        <v>68</v>
      </c>
      <c r="G38" s="148"/>
      <c r="H38" s="149">
        <f>ROUND(G39-0.01,2)</f>
        <v>12.45</v>
      </c>
      <c r="I38" s="195">
        <f>10-I39-I40-I41</f>
        <v>6</v>
      </c>
    </row>
    <row r="39" spans="2:9" x14ac:dyDescent="0.25">
      <c r="B39" s="283"/>
      <c r="C39" s="301"/>
      <c r="D39" s="286"/>
      <c r="E39" s="143">
        <v>1</v>
      </c>
      <c r="F39" s="7" t="s">
        <v>94</v>
      </c>
      <c r="G39" s="146">
        <f>+D38*1.2</f>
        <v>12.456000000000001</v>
      </c>
      <c r="H39" s="192">
        <f>+G40-0.01</f>
        <v>14</v>
      </c>
      <c r="I39" s="196">
        <v>2</v>
      </c>
    </row>
    <row r="40" spans="2:9" x14ac:dyDescent="0.25">
      <c r="B40" s="283"/>
      <c r="C40" s="301"/>
      <c r="D40" s="286"/>
      <c r="E40" s="143">
        <v>2</v>
      </c>
      <c r="F40" s="7" t="s">
        <v>95</v>
      </c>
      <c r="G40" s="146">
        <f>ROUND(D38*1.35,2)</f>
        <v>14.01</v>
      </c>
      <c r="H40" s="192">
        <f>+G41-0.01</f>
        <v>16.599999999999998</v>
      </c>
      <c r="I40" s="196">
        <v>2</v>
      </c>
    </row>
    <row r="41" spans="2:9" ht="15.75" thickBot="1" x14ac:dyDescent="0.3">
      <c r="B41" s="284"/>
      <c r="C41" s="302"/>
      <c r="D41" s="287"/>
      <c r="E41" s="150">
        <v>3</v>
      </c>
      <c r="F41" s="7" t="s">
        <v>96</v>
      </c>
      <c r="G41" s="146">
        <f>ROUND(D38*1.6,2)</f>
        <v>16.61</v>
      </c>
      <c r="H41" s="147"/>
      <c r="I41" s="197">
        <v>0</v>
      </c>
    </row>
    <row r="42" spans="2:9" x14ac:dyDescent="0.25">
      <c r="B42" s="307" t="s">
        <v>20</v>
      </c>
      <c r="C42" s="308" t="s">
        <v>7</v>
      </c>
      <c r="D42" s="309">
        <v>14.82</v>
      </c>
      <c r="E42" s="143" t="s">
        <v>71</v>
      </c>
      <c r="F42" s="210" t="s">
        <v>68</v>
      </c>
      <c r="G42" s="148"/>
      <c r="H42" s="149">
        <f>ROUND(G43-0.01,2)</f>
        <v>17.77</v>
      </c>
      <c r="I42" s="199">
        <f>39-I43-I44-I45</f>
        <v>30</v>
      </c>
    </row>
    <row r="43" spans="2:9" x14ac:dyDescent="0.25">
      <c r="B43" s="283"/>
      <c r="C43" s="301"/>
      <c r="D43" s="286"/>
      <c r="E43" s="143">
        <v>1</v>
      </c>
      <c r="F43" s="7" t="s">
        <v>94</v>
      </c>
      <c r="G43" s="146">
        <f>+D42*1.2</f>
        <v>17.783999999999999</v>
      </c>
      <c r="H43" s="192">
        <f>+G44-0.01</f>
        <v>20</v>
      </c>
      <c r="I43" s="196">
        <v>3</v>
      </c>
    </row>
    <row r="44" spans="2:9" x14ac:dyDescent="0.25">
      <c r="B44" s="283"/>
      <c r="C44" s="301"/>
      <c r="D44" s="286"/>
      <c r="E44" s="143">
        <v>2</v>
      </c>
      <c r="F44" s="7" t="s">
        <v>95</v>
      </c>
      <c r="G44" s="146">
        <f>ROUND(D42*1.35,2)</f>
        <v>20.010000000000002</v>
      </c>
      <c r="H44" s="192">
        <f>+G45-0.01</f>
        <v>23.7</v>
      </c>
      <c r="I44" s="196">
        <v>4</v>
      </c>
    </row>
    <row r="45" spans="2:9" ht="15.75" thickBot="1" x14ac:dyDescent="0.3">
      <c r="B45" s="303"/>
      <c r="C45" s="304"/>
      <c r="D45" s="305"/>
      <c r="E45" s="144">
        <v>3</v>
      </c>
      <c r="F45" s="145" t="s">
        <v>96</v>
      </c>
      <c r="G45" s="146">
        <f>ROUND(D42*1.6,2)</f>
        <v>23.71</v>
      </c>
      <c r="H45" s="147"/>
      <c r="I45" s="198">
        <v>2</v>
      </c>
    </row>
    <row r="46" spans="2:9" x14ac:dyDescent="0.25">
      <c r="B46" s="282" t="s">
        <v>20</v>
      </c>
      <c r="C46" s="300" t="s">
        <v>8</v>
      </c>
      <c r="D46" s="285">
        <v>10.18</v>
      </c>
      <c r="E46" s="143" t="s">
        <v>71</v>
      </c>
      <c r="F46" s="7" t="s">
        <v>68</v>
      </c>
      <c r="G46" s="148"/>
      <c r="H46" s="149">
        <f>ROUND(G47-0.01,2)</f>
        <v>12.21</v>
      </c>
      <c r="I46" s="195">
        <f>19-I47-I48-I49</f>
        <v>14</v>
      </c>
    </row>
    <row r="47" spans="2:9" x14ac:dyDescent="0.25">
      <c r="B47" s="283"/>
      <c r="C47" s="301"/>
      <c r="D47" s="286"/>
      <c r="E47" s="143">
        <v>1</v>
      </c>
      <c r="F47" s="7" t="s">
        <v>94</v>
      </c>
      <c r="G47" s="146">
        <f>+D46*1.2</f>
        <v>12.215999999999999</v>
      </c>
      <c r="H47" s="192">
        <f>+G48-0.01</f>
        <v>13.73</v>
      </c>
      <c r="I47" s="196">
        <v>2</v>
      </c>
    </row>
    <row r="48" spans="2:9" x14ac:dyDescent="0.25">
      <c r="B48" s="283"/>
      <c r="C48" s="301"/>
      <c r="D48" s="286"/>
      <c r="E48" s="143">
        <v>2</v>
      </c>
      <c r="F48" s="7" t="s">
        <v>95</v>
      </c>
      <c r="G48" s="146">
        <f>ROUND(D46*1.35,2)</f>
        <v>13.74</v>
      </c>
      <c r="H48" s="192">
        <f>+G49-0.01</f>
        <v>16.279999999999998</v>
      </c>
      <c r="I48" s="196">
        <v>1</v>
      </c>
    </row>
    <row r="49" spans="2:9" ht="15.75" thickBot="1" x14ac:dyDescent="0.3">
      <c r="B49" s="303"/>
      <c r="C49" s="304"/>
      <c r="D49" s="305"/>
      <c r="E49" s="144">
        <v>3</v>
      </c>
      <c r="F49" s="145" t="s">
        <v>96</v>
      </c>
      <c r="G49" s="146">
        <f>ROUND(D46*1.6,2)</f>
        <v>16.29</v>
      </c>
      <c r="H49" s="147"/>
      <c r="I49" s="198">
        <v>2</v>
      </c>
    </row>
    <row r="50" spans="2:9" x14ac:dyDescent="0.25">
      <c r="B50" s="282" t="s">
        <v>20</v>
      </c>
      <c r="C50" s="300" t="s">
        <v>9</v>
      </c>
      <c r="D50" s="285">
        <v>11.17</v>
      </c>
      <c r="E50" s="143" t="s">
        <v>71</v>
      </c>
      <c r="F50" s="7" t="s">
        <v>68</v>
      </c>
      <c r="G50" s="148"/>
      <c r="H50" s="149">
        <f>ROUND(G51-0.01,2)</f>
        <v>13.39</v>
      </c>
      <c r="I50" s="195">
        <f>13-I51-I52-I53</f>
        <v>11</v>
      </c>
    </row>
    <row r="51" spans="2:9" x14ac:dyDescent="0.25">
      <c r="B51" s="283"/>
      <c r="C51" s="301"/>
      <c r="D51" s="286"/>
      <c r="E51" s="143">
        <v>1</v>
      </c>
      <c r="F51" s="7" t="s">
        <v>94</v>
      </c>
      <c r="G51" s="146">
        <f>+D50*1.2</f>
        <v>13.404</v>
      </c>
      <c r="H51" s="192">
        <f>+G52-0.01</f>
        <v>15.07</v>
      </c>
      <c r="I51" s="196">
        <v>0</v>
      </c>
    </row>
    <row r="52" spans="2:9" x14ac:dyDescent="0.25">
      <c r="B52" s="283"/>
      <c r="C52" s="301"/>
      <c r="D52" s="286"/>
      <c r="E52" s="143">
        <v>2</v>
      </c>
      <c r="F52" s="7" t="s">
        <v>95</v>
      </c>
      <c r="G52" s="146">
        <f>ROUND(D50*1.35,2)</f>
        <v>15.08</v>
      </c>
      <c r="H52" s="192">
        <f>+G53-0.01</f>
        <v>17.86</v>
      </c>
      <c r="I52" s="196">
        <v>0</v>
      </c>
    </row>
    <row r="53" spans="2:9" ht="15.75" thickBot="1" x14ac:dyDescent="0.3">
      <c r="B53" s="284"/>
      <c r="C53" s="302"/>
      <c r="D53" s="287"/>
      <c r="E53" s="150">
        <v>3</v>
      </c>
      <c r="F53" s="151" t="s">
        <v>96</v>
      </c>
      <c r="G53" s="146">
        <f>ROUND(D50*1.6,2)</f>
        <v>17.87</v>
      </c>
      <c r="H53" s="147"/>
      <c r="I53" s="197">
        <v>2</v>
      </c>
    </row>
    <row r="54" spans="2:9" x14ac:dyDescent="0.25">
      <c r="B54" s="307" t="s">
        <v>55</v>
      </c>
      <c r="C54" s="308" t="s">
        <v>7</v>
      </c>
      <c r="D54" s="310">
        <v>3.4</v>
      </c>
      <c r="E54" s="143" t="s">
        <v>71</v>
      </c>
      <c r="F54" s="7" t="s">
        <v>68</v>
      </c>
      <c r="G54" s="148"/>
      <c r="H54" s="149">
        <f>ROUND(G55-0.01,2)</f>
        <v>4.07</v>
      </c>
      <c r="I54" s="199">
        <v>1</v>
      </c>
    </row>
    <row r="55" spans="2:9" x14ac:dyDescent="0.25">
      <c r="B55" s="283"/>
      <c r="C55" s="301"/>
      <c r="D55" s="311"/>
      <c r="E55" s="143">
        <v>1</v>
      </c>
      <c r="F55" s="7" t="s">
        <v>94</v>
      </c>
      <c r="G55" s="146">
        <f>+D54*1.2</f>
        <v>4.08</v>
      </c>
      <c r="H55" s="192">
        <f>+G56-0.01</f>
        <v>4.58</v>
      </c>
      <c r="I55" s="196">
        <v>0</v>
      </c>
    </row>
    <row r="56" spans="2:9" x14ac:dyDescent="0.25">
      <c r="B56" s="283"/>
      <c r="C56" s="301"/>
      <c r="D56" s="311"/>
      <c r="E56" s="143">
        <v>2</v>
      </c>
      <c r="F56" s="7" t="s">
        <v>95</v>
      </c>
      <c r="G56" s="146">
        <f>ROUND(D54*1.35,2)</f>
        <v>4.59</v>
      </c>
      <c r="H56" s="192">
        <f>+G57-0.01</f>
        <v>5.4300000000000006</v>
      </c>
      <c r="I56" s="196">
        <v>0</v>
      </c>
    </row>
    <row r="57" spans="2:9" ht="15.75" thickBot="1" x14ac:dyDescent="0.3">
      <c r="B57" s="303"/>
      <c r="C57" s="304"/>
      <c r="D57" s="312"/>
      <c r="E57" s="144">
        <v>3</v>
      </c>
      <c r="F57" s="145" t="s">
        <v>96</v>
      </c>
      <c r="G57" s="146">
        <f>ROUND(D54*1.6,2)</f>
        <v>5.44</v>
      </c>
      <c r="H57" s="147"/>
      <c r="I57" s="198">
        <v>0</v>
      </c>
    </row>
    <row r="58" spans="2:9" x14ac:dyDescent="0.25">
      <c r="B58" s="282" t="s">
        <v>55</v>
      </c>
      <c r="C58" s="300" t="s">
        <v>8</v>
      </c>
      <c r="D58" s="313">
        <v>4.0599999999999996</v>
      </c>
      <c r="E58" s="143" t="s">
        <v>71</v>
      </c>
      <c r="F58" s="7" t="s">
        <v>68</v>
      </c>
      <c r="G58" s="148"/>
      <c r="H58" s="149">
        <f>ROUND(G59-0.01,2)</f>
        <v>4.8600000000000003</v>
      </c>
      <c r="I58" s="195">
        <v>1</v>
      </c>
    </row>
    <row r="59" spans="2:9" x14ac:dyDescent="0.25">
      <c r="B59" s="283"/>
      <c r="C59" s="301"/>
      <c r="D59" s="311"/>
      <c r="E59" s="143">
        <v>1</v>
      </c>
      <c r="F59" s="7" t="s">
        <v>94</v>
      </c>
      <c r="G59" s="146">
        <f>+D58*1.2</f>
        <v>4.871999999999999</v>
      </c>
      <c r="H59" s="192">
        <f>+G60-0.01</f>
        <v>5.4700000000000006</v>
      </c>
      <c r="I59" s="196">
        <v>0</v>
      </c>
    </row>
    <row r="60" spans="2:9" x14ac:dyDescent="0.25">
      <c r="B60" s="283"/>
      <c r="C60" s="301"/>
      <c r="D60" s="311"/>
      <c r="E60" s="143">
        <v>2</v>
      </c>
      <c r="F60" s="7" t="s">
        <v>95</v>
      </c>
      <c r="G60" s="146">
        <f>ROUND(D58*1.35,2)</f>
        <v>5.48</v>
      </c>
      <c r="H60" s="192">
        <f>+G61-0.01</f>
        <v>6.49</v>
      </c>
      <c r="I60" s="196">
        <v>0</v>
      </c>
    </row>
    <row r="61" spans="2:9" ht="15.75" thickBot="1" x14ac:dyDescent="0.3">
      <c r="B61" s="303"/>
      <c r="C61" s="304"/>
      <c r="D61" s="312"/>
      <c r="E61" s="144">
        <v>3</v>
      </c>
      <c r="F61" s="145" t="s">
        <v>96</v>
      </c>
      <c r="G61" s="146">
        <f>ROUND(D58*1.6,2)</f>
        <v>6.5</v>
      </c>
      <c r="H61" s="147"/>
      <c r="I61" s="198">
        <v>0</v>
      </c>
    </row>
    <row r="62" spans="2:9" x14ac:dyDescent="0.25">
      <c r="B62" s="282" t="s">
        <v>55</v>
      </c>
      <c r="C62" s="300" t="s">
        <v>9</v>
      </c>
      <c r="D62" s="313">
        <v>5.4</v>
      </c>
      <c r="E62" s="143" t="s">
        <v>71</v>
      </c>
      <c r="F62" s="7" t="s">
        <v>68</v>
      </c>
      <c r="G62" s="148"/>
      <c r="H62" s="149">
        <f>ROUND(G63-0.01,2)</f>
        <v>6.47</v>
      </c>
      <c r="I62" s="195">
        <v>1</v>
      </c>
    </row>
    <row r="63" spans="2:9" x14ac:dyDescent="0.25">
      <c r="B63" s="283"/>
      <c r="C63" s="301"/>
      <c r="D63" s="311"/>
      <c r="E63" s="143">
        <v>1</v>
      </c>
      <c r="F63" s="7" t="s">
        <v>94</v>
      </c>
      <c r="G63" s="146">
        <f>+D62*1.2</f>
        <v>6.48</v>
      </c>
      <c r="H63" s="192">
        <f>+G64-0.01</f>
        <v>7.28</v>
      </c>
      <c r="I63" s="196">
        <v>0</v>
      </c>
    </row>
    <row r="64" spans="2:9" x14ac:dyDescent="0.25">
      <c r="B64" s="283"/>
      <c r="C64" s="301"/>
      <c r="D64" s="311"/>
      <c r="E64" s="143">
        <v>2</v>
      </c>
      <c r="F64" s="7" t="s">
        <v>95</v>
      </c>
      <c r="G64" s="146">
        <f>ROUND(D62*1.35,2)</f>
        <v>7.29</v>
      </c>
      <c r="H64" s="192">
        <f>+G65-0.01</f>
        <v>8.6300000000000008</v>
      </c>
      <c r="I64" s="196">
        <v>0</v>
      </c>
    </row>
    <row r="65" spans="2:9" ht="15.75" thickBot="1" x14ac:dyDescent="0.3">
      <c r="B65" s="284"/>
      <c r="C65" s="302"/>
      <c r="D65" s="314"/>
      <c r="E65" s="150">
        <v>3</v>
      </c>
      <c r="F65" s="151" t="s">
        <v>96</v>
      </c>
      <c r="G65" s="146">
        <f>ROUND(D62*1.6,2)</f>
        <v>8.64</v>
      </c>
      <c r="H65" s="147"/>
      <c r="I65" s="197">
        <v>0</v>
      </c>
    </row>
    <row r="66" spans="2:9" x14ac:dyDescent="0.25">
      <c r="B66" s="307" t="s">
        <v>43</v>
      </c>
      <c r="C66" s="308" t="s">
        <v>7</v>
      </c>
      <c r="D66" s="309">
        <v>11.05</v>
      </c>
      <c r="E66" s="143" t="s">
        <v>71</v>
      </c>
      <c r="F66" s="7" t="s">
        <v>68</v>
      </c>
      <c r="G66" s="148"/>
      <c r="H66" s="149">
        <f>ROUND(G67-0.01,2)</f>
        <v>13.25</v>
      </c>
      <c r="I66" s="199">
        <v>1</v>
      </c>
    </row>
    <row r="67" spans="2:9" x14ac:dyDescent="0.25">
      <c r="B67" s="283"/>
      <c r="C67" s="301"/>
      <c r="D67" s="286"/>
      <c r="E67" s="143">
        <v>1</v>
      </c>
      <c r="F67" s="7" t="s">
        <v>94</v>
      </c>
      <c r="G67" s="146">
        <f>+D66*1.2</f>
        <v>13.26</v>
      </c>
      <c r="H67" s="192">
        <f>+G68-0.01</f>
        <v>14.91</v>
      </c>
      <c r="I67" s="196">
        <v>0</v>
      </c>
    </row>
    <row r="68" spans="2:9" x14ac:dyDescent="0.25">
      <c r="B68" s="283"/>
      <c r="C68" s="301"/>
      <c r="D68" s="286"/>
      <c r="E68" s="143">
        <v>2</v>
      </c>
      <c r="F68" s="7" t="s">
        <v>95</v>
      </c>
      <c r="G68" s="146">
        <f>ROUND(D66*1.35,2)</f>
        <v>14.92</v>
      </c>
      <c r="H68" s="192">
        <f>+G69-0.01</f>
        <v>17.669999999999998</v>
      </c>
      <c r="I68" s="196">
        <v>0</v>
      </c>
    </row>
    <row r="69" spans="2:9" ht="15.75" thickBot="1" x14ac:dyDescent="0.3">
      <c r="B69" s="303"/>
      <c r="C69" s="304"/>
      <c r="D69" s="305"/>
      <c r="E69" s="144">
        <v>3</v>
      </c>
      <c r="F69" s="145" t="s">
        <v>96</v>
      </c>
      <c r="G69" s="146">
        <f>ROUND(D66*1.6,2)</f>
        <v>17.68</v>
      </c>
      <c r="H69" s="147"/>
      <c r="I69" s="198">
        <v>0</v>
      </c>
    </row>
    <row r="70" spans="2:9" x14ac:dyDescent="0.25">
      <c r="B70" s="282" t="s">
        <v>43</v>
      </c>
      <c r="C70" s="300" t="s">
        <v>8</v>
      </c>
      <c r="D70" s="285">
        <v>7.45</v>
      </c>
      <c r="E70" s="143" t="s">
        <v>71</v>
      </c>
      <c r="F70" s="7" t="s">
        <v>68</v>
      </c>
      <c r="G70" s="148"/>
      <c r="H70" s="149">
        <f>ROUND(G71-0.01,2)</f>
        <v>8.93</v>
      </c>
      <c r="I70" s="195">
        <v>1</v>
      </c>
    </row>
    <row r="71" spans="2:9" x14ac:dyDescent="0.25">
      <c r="B71" s="283"/>
      <c r="C71" s="301"/>
      <c r="D71" s="286"/>
      <c r="E71" s="143">
        <v>1</v>
      </c>
      <c r="F71" s="7" t="s">
        <v>94</v>
      </c>
      <c r="G71" s="146">
        <f>+D70*1.2</f>
        <v>8.94</v>
      </c>
      <c r="H71" s="192">
        <f>+G72-0.01</f>
        <v>10.050000000000001</v>
      </c>
      <c r="I71" s="196">
        <v>0</v>
      </c>
    </row>
    <row r="72" spans="2:9" x14ac:dyDescent="0.25">
      <c r="B72" s="283"/>
      <c r="C72" s="301"/>
      <c r="D72" s="286"/>
      <c r="E72" s="143">
        <v>2</v>
      </c>
      <c r="F72" s="7" t="s">
        <v>95</v>
      </c>
      <c r="G72" s="146">
        <f>ROUND(D70*1.35,2)</f>
        <v>10.06</v>
      </c>
      <c r="H72" s="192">
        <f>+G73-0.01</f>
        <v>11.91</v>
      </c>
      <c r="I72" s="196">
        <v>0</v>
      </c>
    </row>
    <row r="73" spans="2:9" ht="15.75" thickBot="1" x14ac:dyDescent="0.3">
      <c r="B73" s="303"/>
      <c r="C73" s="304"/>
      <c r="D73" s="305"/>
      <c r="E73" s="144">
        <v>3</v>
      </c>
      <c r="F73" s="145" t="s">
        <v>96</v>
      </c>
      <c r="G73" s="146">
        <f>ROUND(D70*1.6,2)</f>
        <v>11.92</v>
      </c>
      <c r="H73" s="147"/>
      <c r="I73" s="198">
        <v>0</v>
      </c>
    </row>
    <row r="74" spans="2:9" x14ac:dyDescent="0.25">
      <c r="B74" s="282" t="s">
        <v>43</v>
      </c>
      <c r="C74" s="300" t="s">
        <v>9</v>
      </c>
      <c r="D74" s="285">
        <v>9.93</v>
      </c>
      <c r="E74" s="143" t="s">
        <v>71</v>
      </c>
      <c r="F74" s="7" t="s">
        <v>68</v>
      </c>
      <c r="G74" s="148"/>
      <c r="H74" s="149">
        <f>ROUND(G75-0.01,2)</f>
        <v>11.91</v>
      </c>
      <c r="I74" s="195">
        <v>1</v>
      </c>
    </row>
    <row r="75" spans="2:9" x14ac:dyDescent="0.25">
      <c r="B75" s="283"/>
      <c r="C75" s="301"/>
      <c r="D75" s="286"/>
      <c r="E75" s="143">
        <v>1</v>
      </c>
      <c r="F75" s="7" t="s">
        <v>94</v>
      </c>
      <c r="G75" s="146">
        <f>+D74*1.2</f>
        <v>11.915999999999999</v>
      </c>
      <c r="H75" s="192">
        <f>+G76-0.01</f>
        <v>13.4</v>
      </c>
      <c r="I75" s="196">
        <v>0</v>
      </c>
    </row>
    <row r="76" spans="2:9" x14ac:dyDescent="0.25">
      <c r="B76" s="283"/>
      <c r="C76" s="301"/>
      <c r="D76" s="286"/>
      <c r="E76" s="143">
        <v>2</v>
      </c>
      <c r="F76" s="7" t="s">
        <v>95</v>
      </c>
      <c r="G76" s="146">
        <f>ROUND(D74*1.35,2)</f>
        <v>13.41</v>
      </c>
      <c r="H76" s="192">
        <f>+G77-0.01</f>
        <v>15.88</v>
      </c>
      <c r="I76" s="196">
        <v>0</v>
      </c>
    </row>
    <row r="77" spans="2:9" ht="15.75" thickBot="1" x14ac:dyDescent="0.3">
      <c r="B77" s="284"/>
      <c r="C77" s="302"/>
      <c r="D77" s="287"/>
      <c r="E77" s="150">
        <v>3</v>
      </c>
      <c r="F77" s="151" t="s">
        <v>96</v>
      </c>
      <c r="G77" s="146">
        <f>ROUND(D74*1.6,2)</f>
        <v>15.89</v>
      </c>
      <c r="H77" s="147"/>
      <c r="I77" s="197">
        <v>0</v>
      </c>
    </row>
    <row r="78" spans="2:9" x14ac:dyDescent="0.25">
      <c r="B78" s="307" t="s">
        <v>22</v>
      </c>
      <c r="C78" s="308" t="s">
        <v>7</v>
      </c>
      <c r="D78" s="309">
        <v>1.89</v>
      </c>
      <c r="E78" s="143" t="s">
        <v>71</v>
      </c>
      <c r="F78" s="7" t="s">
        <v>68</v>
      </c>
      <c r="G78" s="148"/>
      <c r="H78" s="149">
        <f>ROUND(G79-0.01,2)</f>
        <v>2.2599999999999998</v>
      </c>
      <c r="I78" s="199">
        <v>1</v>
      </c>
    </row>
    <row r="79" spans="2:9" x14ac:dyDescent="0.25">
      <c r="B79" s="283"/>
      <c r="C79" s="301"/>
      <c r="D79" s="286"/>
      <c r="E79" s="143">
        <v>1</v>
      </c>
      <c r="F79" s="7" t="s">
        <v>94</v>
      </c>
      <c r="G79" s="146">
        <f>+D78*1.2</f>
        <v>2.2679999999999998</v>
      </c>
      <c r="H79" s="192">
        <f>+G80-0.01</f>
        <v>2.54</v>
      </c>
      <c r="I79" s="196">
        <v>1</v>
      </c>
    </row>
    <row r="80" spans="2:9" x14ac:dyDescent="0.25">
      <c r="B80" s="283"/>
      <c r="C80" s="301"/>
      <c r="D80" s="286"/>
      <c r="E80" s="143">
        <v>2</v>
      </c>
      <c r="F80" s="7" t="s">
        <v>95</v>
      </c>
      <c r="G80" s="146">
        <f>ROUND(D78*1.35,2)</f>
        <v>2.5499999999999998</v>
      </c>
      <c r="H80" s="192">
        <f>+G81-0.01</f>
        <v>3.0100000000000002</v>
      </c>
      <c r="I80" s="196">
        <v>0</v>
      </c>
    </row>
    <row r="81" spans="2:9" ht="15.75" thickBot="1" x14ac:dyDescent="0.3">
      <c r="B81" s="303"/>
      <c r="C81" s="304"/>
      <c r="D81" s="305"/>
      <c r="E81" s="144">
        <v>3</v>
      </c>
      <c r="F81" s="145" t="s">
        <v>96</v>
      </c>
      <c r="G81" s="146">
        <f>ROUND(D78*1.6,2)</f>
        <v>3.02</v>
      </c>
      <c r="H81" s="147"/>
      <c r="I81" s="198">
        <v>0</v>
      </c>
    </row>
    <row r="82" spans="2:9" x14ac:dyDescent="0.25">
      <c r="B82" s="282" t="s">
        <v>22</v>
      </c>
      <c r="C82" s="300" t="s">
        <v>8</v>
      </c>
      <c r="D82" s="285">
        <v>2.2200000000000002</v>
      </c>
      <c r="E82" s="143" t="s">
        <v>71</v>
      </c>
      <c r="F82" s="7" t="s">
        <v>68</v>
      </c>
      <c r="G82" s="148"/>
      <c r="H82" s="149">
        <f>ROUND(G83-0.01,2)</f>
        <v>2.65</v>
      </c>
      <c r="I82" s="195">
        <v>2</v>
      </c>
    </row>
    <row r="83" spans="2:9" x14ac:dyDescent="0.25">
      <c r="B83" s="283"/>
      <c r="C83" s="301"/>
      <c r="D83" s="286"/>
      <c r="E83" s="143">
        <v>1</v>
      </c>
      <c r="F83" s="7" t="s">
        <v>94</v>
      </c>
      <c r="G83" s="146">
        <f>+D82*1.2</f>
        <v>2.6640000000000001</v>
      </c>
      <c r="H83" s="192">
        <f>+G84-0.01</f>
        <v>2.99</v>
      </c>
      <c r="I83" s="196">
        <v>0</v>
      </c>
    </row>
    <row r="84" spans="2:9" x14ac:dyDescent="0.25">
      <c r="B84" s="283"/>
      <c r="C84" s="301"/>
      <c r="D84" s="286"/>
      <c r="E84" s="143">
        <v>2</v>
      </c>
      <c r="F84" s="7" t="s">
        <v>95</v>
      </c>
      <c r="G84" s="146">
        <f>ROUND(D82*1.35,2)</f>
        <v>3</v>
      </c>
      <c r="H84" s="192">
        <f>+G85-0.01</f>
        <v>3.54</v>
      </c>
      <c r="I84" s="196">
        <v>0</v>
      </c>
    </row>
    <row r="85" spans="2:9" ht="15.75" thickBot="1" x14ac:dyDescent="0.3">
      <c r="B85" s="303"/>
      <c r="C85" s="304"/>
      <c r="D85" s="305"/>
      <c r="E85" s="144">
        <v>3</v>
      </c>
      <c r="F85" s="145" t="s">
        <v>96</v>
      </c>
      <c r="G85" s="146">
        <f>ROUND(D82*1.6,2)</f>
        <v>3.55</v>
      </c>
      <c r="H85" s="147"/>
      <c r="I85" s="198">
        <v>0</v>
      </c>
    </row>
    <row r="86" spans="2:9" x14ac:dyDescent="0.25">
      <c r="B86" s="282" t="s">
        <v>22</v>
      </c>
      <c r="C86" s="300" t="s">
        <v>9</v>
      </c>
      <c r="D86" s="285">
        <v>2.67</v>
      </c>
      <c r="E86" s="143" t="s">
        <v>71</v>
      </c>
      <c r="F86" s="7" t="s">
        <v>68</v>
      </c>
      <c r="G86" s="148"/>
      <c r="H86" s="149">
        <f>ROUND(G87-0.01,2)</f>
        <v>3.19</v>
      </c>
      <c r="I86" s="195">
        <v>2</v>
      </c>
    </row>
    <row r="87" spans="2:9" x14ac:dyDescent="0.25">
      <c r="B87" s="283"/>
      <c r="C87" s="301"/>
      <c r="D87" s="286"/>
      <c r="E87" s="143">
        <v>1</v>
      </c>
      <c r="F87" s="7" t="s">
        <v>94</v>
      </c>
      <c r="G87" s="146">
        <f>+D86*1.2</f>
        <v>3.2039999999999997</v>
      </c>
      <c r="H87" s="192">
        <f>+G88-0.01</f>
        <v>3.5900000000000003</v>
      </c>
      <c r="I87" s="196">
        <v>0</v>
      </c>
    </row>
    <row r="88" spans="2:9" x14ac:dyDescent="0.25">
      <c r="B88" s="283"/>
      <c r="C88" s="301"/>
      <c r="D88" s="286"/>
      <c r="E88" s="143">
        <v>2</v>
      </c>
      <c r="F88" s="7" t="s">
        <v>95</v>
      </c>
      <c r="G88" s="146">
        <f>ROUND(D86*1.35,2)</f>
        <v>3.6</v>
      </c>
      <c r="H88" s="192">
        <f>+G89-0.01</f>
        <v>4.26</v>
      </c>
      <c r="I88" s="196">
        <v>0</v>
      </c>
    </row>
    <row r="89" spans="2:9" ht="15.75" thickBot="1" x14ac:dyDescent="0.3">
      <c r="B89" s="284"/>
      <c r="C89" s="302"/>
      <c r="D89" s="287"/>
      <c r="E89" s="150">
        <v>3</v>
      </c>
      <c r="F89" s="151" t="s">
        <v>96</v>
      </c>
      <c r="G89" s="146">
        <f>ROUND(D86*1.6,2)</f>
        <v>4.2699999999999996</v>
      </c>
      <c r="H89" s="147"/>
      <c r="I89" s="197">
        <v>0</v>
      </c>
    </row>
    <row r="90" spans="2:9" x14ac:dyDescent="0.25">
      <c r="B90" s="307" t="s">
        <v>23</v>
      </c>
      <c r="C90" s="308" t="s">
        <v>7</v>
      </c>
      <c r="D90" s="309">
        <v>16.149999999999999</v>
      </c>
      <c r="E90" s="143" t="s">
        <v>71</v>
      </c>
      <c r="F90" s="7" t="s">
        <v>68</v>
      </c>
      <c r="G90" s="148"/>
      <c r="H90" s="149">
        <f>ROUND(G91-0.01,2)</f>
        <v>19.37</v>
      </c>
      <c r="I90" s="199">
        <v>1</v>
      </c>
    </row>
    <row r="91" spans="2:9" x14ac:dyDescent="0.25">
      <c r="B91" s="283"/>
      <c r="C91" s="301"/>
      <c r="D91" s="286"/>
      <c r="E91" s="143">
        <v>1</v>
      </c>
      <c r="F91" s="7" t="s">
        <v>94</v>
      </c>
      <c r="G91" s="146">
        <f>+D90*1.2</f>
        <v>19.38</v>
      </c>
      <c r="H91" s="192">
        <f>+G92-0.01</f>
        <v>21.79</v>
      </c>
      <c r="I91" s="196">
        <v>0</v>
      </c>
    </row>
    <row r="92" spans="2:9" x14ac:dyDescent="0.25">
      <c r="B92" s="283"/>
      <c r="C92" s="301"/>
      <c r="D92" s="286"/>
      <c r="E92" s="143">
        <v>2</v>
      </c>
      <c r="F92" s="7" t="s">
        <v>95</v>
      </c>
      <c r="G92" s="146">
        <f>ROUND(D90*1.35,2)</f>
        <v>21.8</v>
      </c>
      <c r="H92" s="192">
        <f>+G93-0.01</f>
        <v>25.83</v>
      </c>
      <c r="I92" s="196">
        <v>0</v>
      </c>
    </row>
    <row r="93" spans="2:9" ht="15.75" thickBot="1" x14ac:dyDescent="0.3">
      <c r="B93" s="303"/>
      <c r="C93" s="304"/>
      <c r="D93" s="305"/>
      <c r="E93" s="144">
        <v>3</v>
      </c>
      <c r="F93" s="145" t="s">
        <v>96</v>
      </c>
      <c r="G93" s="146">
        <f>ROUND(D90*1.6,2)</f>
        <v>25.84</v>
      </c>
      <c r="H93" s="147"/>
      <c r="I93" s="198">
        <v>0</v>
      </c>
    </row>
    <row r="94" spans="2:9" x14ac:dyDescent="0.25">
      <c r="B94" s="282" t="s">
        <v>23</v>
      </c>
      <c r="C94" s="300" t="s">
        <v>8</v>
      </c>
      <c r="D94" s="285">
        <v>16.149999999999999</v>
      </c>
      <c r="E94" s="143" t="s">
        <v>71</v>
      </c>
      <c r="F94" s="7" t="s">
        <v>68</v>
      </c>
      <c r="G94" s="148"/>
      <c r="H94" s="149">
        <f>ROUND(G95-0.01,2)</f>
        <v>19.37</v>
      </c>
      <c r="I94" s="195">
        <v>1</v>
      </c>
    </row>
    <row r="95" spans="2:9" x14ac:dyDescent="0.25">
      <c r="B95" s="283"/>
      <c r="C95" s="301"/>
      <c r="D95" s="286"/>
      <c r="E95" s="143">
        <v>1</v>
      </c>
      <c r="F95" s="7" t="s">
        <v>94</v>
      </c>
      <c r="G95" s="146">
        <f>+D94*1.2</f>
        <v>19.38</v>
      </c>
      <c r="H95" s="192">
        <f>+G96-0.01</f>
        <v>21.79</v>
      </c>
      <c r="I95" s="196">
        <v>0</v>
      </c>
    </row>
    <row r="96" spans="2:9" x14ac:dyDescent="0.25">
      <c r="B96" s="283"/>
      <c r="C96" s="301"/>
      <c r="D96" s="286"/>
      <c r="E96" s="143">
        <v>2</v>
      </c>
      <c r="F96" s="7" t="s">
        <v>95</v>
      </c>
      <c r="G96" s="146">
        <f>ROUND(D94*1.35,2)</f>
        <v>21.8</v>
      </c>
      <c r="H96" s="192">
        <f>+G97-0.01</f>
        <v>25.83</v>
      </c>
      <c r="I96" s="196">
        <v>0</v>
      </c>
    </row>
    <row r="97" spans="2:9" ht="15.75" thickBot="1" x14ac:dyDescent="0.3">
      <c r="B97" s="303"/>
      <c r="C97" s="304"/>
      <c r="D97" s="305"/>
      <c r="E97" s="144">
        <v>3</v>
      </c>
      <c r="F97" s="145" t="s">
        <v>96</v>
      </c>
      <c r="G97" s="146">
        <f>ROUND(D94*1.6,2)</f>
        <v>25.84</v>
      </c>
      <c r="H97" s="147"/>
      <c r="I97" s="198">
        <v>0</v>
      </c>
    </row>
    <row r="98" spans="2:9" x14ac:dyDescent="0.25">
      <c r="B98" s="282" t="s">
        <v>23</v>
      </c>
      <c r="C98" s="300" t="s">
        <v>9</v>
      </c>
      <c r="D98" s="285">
        <v>16.149999999999999</v>
      </c>
      <c r="E98" s="143" t="s">
        <v>71</v>
      </c>
      <c r="F98" s="7" t="s">
        <v>68</v>
      </c>
      <c r="G98" s="148"/>
      <c r="H98" s="149">
        <f>ROUND(G99-0.01,2)</f>
        <v>19.37</v>
      </c>
      <c r="I98" s="195">
        <v>1</v>
      </c>
    </row>
    <row r="99" spans="2:9" x14ac:dyDescent="0.25">
      <c r="B99" s="283"/>
      <c r="C99" s="301"/>
      <c r="D99" s="286"/>
      <c r="E99" s="143">
        <v>1</v>
      </c>
      <c r="F99" s="7" t="s">
        <v>94</v>
      </c>
      <c r="G99" s="146">
        <f>+D98*1.2</f>
        <v>19.38</v>
      </c>
      <c r="H99" s="192">
        <f>+G100-0.01</f>
        <v>21.79</v>
      </c>
      <c r="I99" s="196">
        <v>0</v>
      </c>
    </row>
    <row r="100" spans="2:9" x14ac:dyDescent="0.25">
      <c r="B100" s="283"/>
      <c r="C100" s="301"/>
      <c r="D100" s="286"/>
      <c r="E100" s="143">
        <v>2</v>
      </c>
      <c r="F100" s="7" t="s">
        <v>95</v>
      </c>
      <c r="G100" s="146">
        <f>ROUND(D98*1.35,2)</f>
        <v>21.8</v>
      </c>
      <c r="H100" s="192">
        <f>+G101-0.01</f>
        <v>25.83</v>
      </c>
      <c r="I100" s="196">
        <v>0</v>
      </c>
    </row>
    <row r="101" spans="2:9" ht="15.75" thickBot="1" x14ac:dyDescent="0.3">
      <c r="B101" s="284"/>
      <c r="C101" s="302"/>
      <c r="D101" s="287"/>
      <c r="E101" s="150">
        <v>3</v>
      </c>
      <c r="F101" s="151" t="s">
        <v>96</v>
      </c>
      <c r="G101" s="146">
        <f>ROUND(D98*1.6,2)</f>
        <v>25.84</v>
      </c>
      <c r="H101" s="147"/>
      <c r="I101" s="197">
        <v>0</v>
      </c>
    </row>
    <row r="102" spans="2:9" ht="15" customHeight="1" x14ac:dyDescent="0.25">
      <c r="B102" s="282" t="s">
        <v>56</v>
      </c>
      <c r="C102" s="300" t="s">
        <v>46</v>
      </c>
      <c r="D102" s="285">
        <v>20.88</v>
      </c>
      <c r="E102" s="143" t="s">
        <v>71</v>
      </c>
      <c r="F102" s="7" t="s">
        <v>68</v>
      </c>
      <c r="G102" s="148"/>
      <c r="H102" s="149">
        <f>ROUND(G103-0.01,2)</f>
        <v>25.05</v>
      </c>
      <c r="I102" s="195">
        <v>3</v>
      </c>
    </row>
    <row r="103" spans="2:9" x14ac:dyDescent="0.25">
      <c r="B103" s="283"/>
      <c r="C103" s="301"/>
      <c r="D103" s="286"/>
      <c r="E103" s="143">
        <v>1</v>
      </c>
      <c r="F103" s="7" t="s">
        <v>94</v>
      </c>
      <c r="G103" s="146">
        <f>+D102*1.2</f>
        <v>25.055999999999997</v>
      </c>
      <c r="H103" s="192">
        <f>+G104-0.01</f>
        <v>28.18</v>
      </c>
      <c r="I103" s="196">
        <v>0</v>
      </c>
    </row>
    <row r="104" spans="2:9" x14ac:dyDescent="0.25">
      <c r="B104" s="283"/>
      <c r="C104" s="301"/>
      <c r="D104" s="286"/>
      <c r="E104" s="143">
        <v>2</v>
      </c>
      <c r="F104" s="7" t="s">
        <v>95</v>
      </c>
      <c r="G104" s="146">
        <f>ROUND(D102*1.35,2)</f>
        <v>28.19</v>
      </c>
      <c r="H104" s="192">
        <f>+G105-0.01</f>
        <v>33.4</v>
      </c>
      <c r="I104" s="196">
        <v>0</v>
      </c>
    </row>
    <row r="105" spans="2:9" ht="15.75" thickBot="1" x14ac:dyDescent="0.3">
      <c r="B105" s="284"/>
      <c r="C105" s="302"/>
      <c r="D105" s="287"/>
      <c r="E105" s="150">
        <v>3</v>
      </c>
      <c r="F105" s="151" t="s">
        <v>96</v>
      </c>
      <c r="G105" s="152">
        <f>ROUND(D102*1.6,2)</f>
        <v>33.409999999999997</v>
      </c>
      <c r="H105" s="147"/>
      <c r="I105" s="197">
        <v>1</v>
      </c>
    </row>
    <row r="106" spans="2:9" ht="15" customHeight="1" x14ac:dyDescent="0.25"/>
  </sheetData>
  <mergeCells count="94">
    <mergeCell ref="B98:B101"/>
    <mergeCell ref="C98:C101"/>
    <mergeCell ref="D98:D101"/>
    <mergeCell ref="B102:B105"/>
    <mergeCell ref="C102:C105"/>
    <mergeCell ref="D102:D105"/>
    <mergeCell ref="B90:B93"/>
    <mergeCell ref="C90:C93"/>
    <mergeCell ref="D90:D93"/>
    <mergeCell ref="B94:B97"/>
    <mergeCell ref="C94:C97"/>
    <mergeCell ref="D94:D97"/>
    <mergeCell ref="B82:B85"/>
    <mergeCell ref="C82:C85"/>
    <mergeCell ref="D82:D85"/>
    <mergeCell ref="B86:B89"/>
    <mergeCell ref="C86:C89"/>
    <mergeCell ref="D86:D89"/>
    <mergeCell ref="B74:B77"/>
    <mergeCell ref="C74:C77"/>
    <mergeCell ref="D74:D77"/>
    <mergeCell ref="B78:B81"/>
    <mergeCell ref="C78:C81"/>
    <mergeCell ref="D78:D81"/>
    <mergeCell ref="B66:B69"/>
    <mergeCell ref="C66:C69"/>
    <mergeCell ref="D66:D69"/>
    <mergeCell ref="B70:B73"/>
    <mergeCell ref="C70:C73"/>
    <mergeCell ref="D70:D73"/>
    <mergeCell ref="B58:B61"/>
    <mergeCell ref="C58:C61"/>
    <mergeCell ref="D58:D61"/>
    <mergeCell ref="B62:B65"/>
    <mergeCell ref="C62:C65"/>
    <mergeCell ref="D62:D65"/>
    <mergeCell ref="B50:B53"/>
    <mergeCell ref="C50:C53"/>
    <mergeCell ref="D50:D53"/>
    <mergeCell ref="B54:B57"/>
    <mergeCell ref="C54:C57"/>
    <mergeCell ref="D54:D57"/>
    <mergeCell ref="B42:B45"/>
    <mergeCell ref="C42:C45"/>
    <mergeCell ref="D42:D45"/>
    <mergeCell ref="B46:B49"/>
    <mergeCell ref="C46:C49"/>
    <mergeCell ref="D46:D49"/>
    <mergeCell ref="B34:B37"/>
    <mergeCell ref="C34:C37"/>
    <mergeCell ref="D34:D37"/>
    <mergeCell ref="B38:B41"/>
    <mergeCell ref="C38:C41"/>
    <mergeCell ref="D38:D41"/>
    <mergeCell ref="B26:B29"/>
    <mergeCell ref="C26:C29"/>
    <mergeCell ref="D26:D29"/>
    <mergeCell ref="B30:B33"/>
    <mergeCell ref="C30:C33"/>
    <mergeCell ref="D30:D33"/>
    <mergeCell ref="B18:B21"/>
    <mergeCell ref="C18:C21"/>
    <mergeCell ref="D18:D21"/>
    <mergeCell ref="B22:B25"/>
    <mergeCell ref="C22:C25"/>
    <mergeCell ref="D22:D25"/>
    <mergeCell ref="M12:M13"/>
    <mergeCell ref="N12:N13"/>
    <mergeCell ref="O12:O13"/>
    <mergeCell ref="P12:P13"/>
    <mergeCell ref="Q12:Q13"/>
    <mergeCell ref="B14:B17"/>
    <mergeCell ref="C14:C17"/>
    <mergeCell ref="D14:D17"/>
    <mergeCell ref="N4:O4"/>
    <mergeCell ref="P4:Q4"/>
    <mergeCell ref="B6:B9"/>
    <mergeCell ref="C6:C9"/>
    <mergeCell ref="D6:D9"/>
    <mergeCell ref="B10:B13"/>
    <mergeCell ref="C10:C13"/>
    <mergeCell ref="D10:D13"/>
    <mergeCell ref="K12:K13"/>
    <mergeCell ref="L12:L13"/>
    <mergeCell ref="B4:B5"/>
    <mergeCell ref="C4:C5"/>
    <mergeCell ref="D4:D5"/>
    <mergeCell ref="E4:I4"/>
    <mergeCell ref="L4:M4"/>
    <mergeCell ref="B1:I1"/>
    <mergeCell ref="K1:Q1"/>
    <mergeCell ref="B2:I2"/>
    <mergeCell ref="K2:Q2"/>
    <mergeCell ref="B3:I3"/>
  </mergeCells>
  <pageMargins left="0.7" right="0.7" top="0.75" bottom="0.75" header="0.3" footer="0.3"/>
  <pageSetup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7"/>
  <sheetViews>
    <sheetView workbookViewId="0">
      <selection activeCell="M1" sqref="M1:M1048576"/>
    </sheetView>
  </sheetViews>
  <sheetFormatPr defaultRowHeight="15" x14ac:dyDescent="0.25"/>
  <cols>
    <col min="1" max="1" width="29.7109375" bestFit="1" customWidth="1"/>
    <col min="2" max="2" width="13.5703125" style="12" customWidth="1"/>
    <col min="3" max="3" width="15.85546875" customWidth="1"/>
    <col min="4" max="4" width="14.28515625" bestFit="1" customWidth="1"/>
    <col min="5" max="5" width="15.42578125" bestFit="1" customWidth="1"/>
    <col min="6" max="6" width="16" style="10" bestFit="1" customWidth="1"/>
    <col min="7" max="7" width="14.28515625" bestFit="1" customWidth="1"/>
    <col min="8" max="8" width="16.28515625" bestFit="1" customWidth="1"/>
    <col min="9" max="9" width="15.140625" customWidth="1"/>
    <col min="10" max="10" width="12.28515625" style="13" customWidth="1"/>
    <col min="11" max="11" width="9.28515625" bestFit="1" customWidth="1"/>
    <col min="12" max="12" width="10.7109375" customWidth="1"/>
    <col min="13" max="13" width="13.7109375" customWidth="1"/>
    <col min="17" max="18" width="12.7109375" bestFit="1" customWidth="1"/>
  </cols>
  <sheetData>
    <row r="1" spans="1:14" ht="18.75" x14ac:dyDescent="0.3">
      <c r="A1" s="16" t="s">
        <v>36</v>
      </c>
      <c r="B1"/>
      <c r="F1"/>
      <c r="J1" s="4"/>
      <c r="K1" s="4"/>
      <c r="L1" s="4"/>
      <c r="M1" s="4"/>
    </row>
    <row r="2" spans="1:14" ht="47.25" thickBot="1" x14ac:dyDescent="0.75">
      <c r="A2" s="273" t="s">
        <v>98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84.75" thickBot="1" x14ac:dyDescent="0.3">
      <c r="A3" s="321" t="s">
        <v>10</v>
      </c>
      <c r="B3" s="322" t="s">
        <v>26</v>
      </c>
      <c r="C3" s="323" t="s">
        <v>27</v>
      </c>
      <c r="D3" s="323" t="s">
        <v>1</v>
      </c>
      <c r="E3" s="324" t="s">
        <v>2</v>
      </c>
      <c r="F3" s="324" t="s">
        <v>28</v>
      </c>
      <c r="G3" s="324" t="s">
        <v>29</v>
      </c>
      <c r="H3" s="325" t="s">
        <v>30</v>
      </c>
      <c r="I3" s="325" t="s">
        <v>35</v>
      </c>
      <c r="J3" s="326" t="s">
        <v>32</v>
      </c>
      <c r="K3" s="326" t="s">
        <v>33</v>
      </c>
      <c r="L3" s="325" t="s">
        <v>44</v>
      </c>
      <c r="M3" s="23" t="s">
        <v>34</v>
      </c>
    </row>
    <row r="4" spans="1:14" ht="15.75" x14ac:dyDescent="0.25">
      <c r="A4" s="137" t="s">
        <v>18</v>
      </c>
      <c r="B4" s="236">
        <v>2</v>
      </c>
      <c r="C4" s="137" t="s">
        <v>24</v>
      </c>
      <c r="D4" s="137" t="s">
        <v>7</v>
      </c>
      <c r="E4" s="237">
        <v>6029659.9676695131</v>
      </c>
      <c r="F4" s="237">
        <v>1180598.2243872117</v>
      </c>
      <c r="G4" s="237">
        <f>E4-F4</f>
        <v>4849061.7432823014</v>
      </c>
      <c r="H4" s="138">
        <v>1448128.3411701326</v>
      </c>
      <c r="I4" s="234">
        <v>34245.459999999934</v>
      </c>
      <c r="J4" s="29">
        <f>+G4/H4</f>
        <v>3.3485027572653601</v>
      </c>
      <c r="K4" s="55">
        <f t="shared" ref="K4:K35" si="0">+IF(D4="Weekday",J4/$J$89,IF(D4="Saturday",J4/$J$90,IF(D4="Sunday",J4/$J$91,"NA")))</f>
        <v>0.65145968040182112</v>
      </c>
      <c r="L4" s="80">
        <f>ROUND(+H4/I4,1)</f>
        <v>42.3</v>
      </c>
      <c r="M4" s="44"/>
    </row>
    <row r="5" spans="1:14" ht="15.75" x14ac:dyDescent="0.25">
      <c r="A5" s="137" t="s">
        <v>18</v>
      </c>
      <c r="B5" s="236">
        <v>3</v>
      </c>
      <c r="C5" s="137" t="s">
        <v>24</v>
      </c>
      <c r="D5" s="137" t="s">
        <v>7</v>
      </c>
      <c r="E5" s="237">
        <v>8334695.0912415227</v>
      </c>
      <c r="F5" s="237">
        <v>1600583.8250722014</v>
      </c>
      <c r="G5" s="237">
        <f>E5-F5</f>
        <v>6734111.2661693208</v>
      </c>
      <c r="H5" s="138">
        <v>1622310.3971839733</v>
      </c>
      <c r="I5" s="234">
        <v>45503.829999999813</v>
      </c>
      <c r="J5" s="34">
        <f t="shared" ref="J5:J68" si="1">+G5/H5</f>
        <v>4.1509388572362447</v>
      </c>
      <c r="K5" s="55">
        <f t="shared" si="0"/>
        <v>0.80757565315880253</v>
      </c>
      <c r="L5" s="80">
        <f t="shared" ref="L5:L68" si="2">ROUND(+H5/I5,1)</f>
        <v>35.700000000000003</v>
      </c>
      <c r="M5" s="45"/>
    </row>
    <row r="6" spans="1:14" ht="15.75" x14ac:dyDescent="0.25">
      <c r="A6" s="137" t="s">
        <v>18</v>
      </c>
      <c r="B6" s="236">
        <v>4</v>
      </c>
      <c r="C6" s="137" t="s">
        <v>24</v>
      </c>
      <c r="D6" s="137" t="s">
        <v>7</v>
      </c>
      <c r="E6" s="237">
        <v>8472733.3910882808</v>
      </c>
      <c r="F6" s="237">
        <v>1743602.6502952415</v>
      </c>
      <c r="G6" s="237">
        <f t="shared" ref="G6:G69" si="3">E6-F6</f>
        <v>6729130.7407930391</v>
      </c>
      <c r="H6" s="138">
        <v>1382841.9665109983</v>
      </c>
      <c r="I6" s="234">
        <v>45790.789999999797</v>
      </c>
      <c r="J6" s="34">
        <f t="shared" si="1"/>
        <v>4.8661603449677484</v>
      </c>
      <c r="K6" s="55">
        <f t="shared" si="0"/>
        <v>0.94672380252290833</v>
      </c>
      <c r="L6" s="80">
        <f t="shared" si="2"/>
        <v>30.2</v>
      </c>
      <c r="M6" s="45"/>
    </row>
    <row r="7" spans="1:14" ht="15.75" x14ac:dyDescent="0.25">
      <c r="A7" s="137" t="s">
        <v>18</v>
      </c>
      <c r="B7" s="236">
        <v>5</v>
      </c>
      <c r="C7" s="137" t="s">
        <v>24</v>
      </c>
      <c r="D7" s="137" t="s">
        <v>7</v>
      </c>
      <c r="E7" s="237">
        <v>12818463.89002654</v>
      </c>
      <c r="F7" s="237">
        <v>3117375.8774933401</v>
      </c>
      <c r="G7" s="237">
        <f t="shared" si="3"/>
        <v>9701088.012533199</v>
      </c>
      <c r="H7" s="138">
        <v>3476014.0037711198</v>
      </c>
      <c r="I7" s="234">
        <v>71385.460000000006</v>
      </c>
      <c r="J7" s="34">
        <f t="shared" si="1"/>
        <v>2.7908656300027879</v>
      </c>
      <c r="K7" s="55">
        <f t="shared" si="0"/>
        <v>0.54296996692661248</v>
      </c>
      <c r="L7" s="80">
        <f t="shared" si="2"/>
        <v>48.7</v>
      </c>
      <c r="M7" s="45"/>
    </row>
    <row r="8" spans="1:14" ht="15.75" x14ac:dyDescent="0.25">
      <c r="A8" s="137" t="s">
        <v>18</v>
      </c>
      <c r="B8" s="236">
        <v>6</v>
      </c>
      <c r="C8" s="137" t="s">
        <v>24</v>
      </c>
      <c r="D8" s="137" t="s">
        <v>7</v>
      </c>
      <c r="E8" s="237">
        <v>10417667.884550348</v>
      </c>
      <c r="F8" s="237">
        <v>2334586.0589800295</v>
      </c>
      <c r="G8" s="237">
        <f t="shared" si="3"/>
        <v>8083081.8255703188</v>
      </c>
      <c r="H8" s="138">
        <v>2027757.0399372163</v>
      </c>
      <c r="I8" s="234">
        <v>55663.519999999939</v>
      </c>
      <c r="J8" s="34">
        <f t="shared" si="1"/>
        <v>3.9862181052127372</v>
      </c>
      <c r="K8" s="55">
        <f t="shared" si="0"/>
        <v>0.77552881424372322</v>
      </c>
      <c r="L8" s="80">
        <f t="shared" si="2"/>
        <v>36.4</v>
      </c>
      <c r="M8" s="45"/>
    </row>
    <row r="9" spans="1:14" ht="15.75" x14ac:dyDescent="0.25">
      <c r="A9" s="137" t="s">
        <v>18</v>
      </c>
      <c r="B9" s="236">
        <v>7</v>
      </c>
      <c r="C9" s="137" t="s">
        <v>24</v>
      </c>
      <c r="D9" s="137" t="s">
        <v>7</v>
      </c>
      <c r="E9" s="237">
        <v>3346123.4161249902</v>
      </c>
      <c r="F9" s="237">
        <v>423037.74372474942</v>
      </c>
      <c r="G9" s="237">
        <f t="shared" si="3"/>
        <v>2923085.6724002408</v>
      </c>
      <c r="H9" s="138">
        <v>414414.96171261487</v>
      </c>
      <c r="I9" s="234">
        <v>18936.200000000023</v>
      </c>
      <c r="J9" s="34">
        <f t="shared" si="1"/>
        <v>7.0535235029166694</v>
      </c>
      <c r="K9" s="55">
        <f t="shared" si="0"/>
        <v>1.3722808371433211</v>
      </c>
      <c r="L9" s="80">
        <f t="shared" si="2"/>
        <v>21.9</v>
      </c>
      <c r="M9" s="45"/>
    </row>
    <row r="10" spans="1:14" ht="15.75" x14ac:dyDescent="0.25">
      <c r="A10" s="137" t="s">
        <v>18</v>
      </c>
      <c r="B10" s="236">
        <v>9</v>
      </c>
      <c r="C10" s="137" t="s">
        <v>24</v>
      </c>
      <c r="D10" s="137" t="s">
        <v>7</v>
      </c>
      <c r="E10" s="237">
        <v>4356100.4575872812</v>
      </c>
      <c r="F10" s="237">
        <v>673915.65936088469</v>
      </c>
      <c r="G10" s="237">
        <f t="shared" si="3"/>
        <v>3682184.7982263966</v>
      </c>
      <c r="H10" s="138">
        <v>631495.78793264914</v>
      </c>
      <c r="I10" s="234">
        <v>23429.679999999902</v>
      </c>
      <c r="J10" s="34">
        <f t="shared" si="1"/>
        <v>5.8308936790867598</v>
      </c>
      <c r="K10" s="55">
        <f t="shared" si="0"/>
        <v>1.1344151126627937</v>
      </c>
      <c r="L10" s="80">
        <f t="shared" si="2"/>
        <v>27</v>
      </c>
      <c r="M10" s="45"/>
    </row>
    <row r="11" spans="1:14" ht="15.75" x14ac:dyDescent="0.25">
      <c r="A11" s="137" t="s">
        <v>18</v>
      </c>
      <c r="B11" s="236">
        <v>10</v>
      </c>
      <c r="C11" s="137" t="s">
        <v>24</v>
      </c>
      <c r="D11" s="137" t="s">
        <v>7</v>
      </c>
      <c r="E11" s="237">
        <v>8311803.0740515152</v>
      </c>
      <c r="F11" s="237">
        <v>1513812.1850152249</v>
      </c>
      <c r="G11" s="237">
        <f t="shared" si="3"/>
        <v>6797990.8890362903</v>
      </c>
      <c r="H11" s="138">
        <v>1637923.5289184712</v>
      </c>
      <c r="I11" s="234">
        <v>46708.960000000116</v>
      </c>
      <c r="J11" s="34">
        <f t="shared" si="1"/>
        <v>4.1503713506851181</v>
      </c>
      <c r="K11" s="55">
        <f t="shared" si="0"/>
        <v>0.80746524332395297</v>
      </c>
      <c r="L11" s="80">
        <f t="shared" si="2"/>
        <v>35.1</v>
      </c>
      <c r="M11" s="45"/>
    </row>
    <row r="12" spans="1:14" ht="15.75" x14ac:dyDescent="0.25">
      <c r="A12" s="137" t="s">
        <v>18</v>
      </c>
      <c r="B12" s="236">
        <v>11</v>
      </c>
      <c r="C12" s="137" t="s">
        <v>24</v>
      </c>
      <c r="D12" s="137" t="s">
        <v>7</v>
      </c>
      <c r="E12" s="237">
        <v>5862003.8227913631</v>
      </c>
      <c r="F12" s="237">
        <v>1163903.3627525098</v>
      </c>
      <c r="G12" s="237">
        <f t="shared" si="3"/>
        <v>4698100.4600388538</v>
      </c>
      <c r="H12" s="138">
        <v>1034385.5366036745</v>
      </c>
      <c r="I12" s="234">
        <v>33264.919999999896</v>
      </c>
      <c r="J12" s="34">
        <f t="shared" si="1"/>
        <v>4.5419239672131395</v>
      </c>
      <c r="K12" s="55">
        <f t="shared" si="0"/>
        <v>0.88364279517765365</v>
      </c>
      <c r="L12" s="80">
        <f t="shared" si="2"/>
        <v>31.1</v>
      </c>
      <c r="M12" s="45"/>
    </row>
    <row r="13" spans="1:14" ht="15.75" x14ac:dyDescent="0.25">
      <c r="A13" s="137" t="s">
        <v>18</v>
      </c>
      <c r="B13" s="236">
        <v>12</v>
      </c>
      <c r="C13" s="137" t="s">
        <v>24</v>
      </c>
      <c r="D13" s="137" t="s">
        <v>7</v>
      </c>
      <c r="E13" s="237">
        <v>1992431.9568934722</v>
      </c>
      <c r="F13" s="237">
        <v>456907.80531504081</v>
      </c>
      <c r="G13" s="237">
        <f t="shared" si="3"/>
        <v>1535524.1515784315</v>
      </c>
      <c r="H13" s="138">
        <v>331528.02770781505</v>
      </c>
      <c r="I13" s="234">
        <v>10514.229999999969</v>
      </c>
      <c r="J13" s="34">
        <f t="shared" si="1"/>
        <v>4.6316571247234997</v>
      </c>
      <c r="K13" s="55">
        <f t="shared" si="0"/>
        <v>0.90110060792285995</v>
      </c>
      <c r="L13" s="80">
        <f t="shared" si="2"/>
        <v>31.5</v>
      </c>
      <c r="M13" s="45"/>
    </row>
    <row r="14" spans="1:14" ht="15.75" x14ac:dyDescent="0.25">
      <c r="A14" s="137" t="s">
        <v>18</v>
      </c>
      <c r="B14" s="236">
        <v>14</v>
      </c>
      <c r="C14" s="137" t="s">
        <v>24</v>
      </c>
      <c r="D14" s="137" t="s">
        <v>7</v>
      </c>
      <c r="E14" s="237">
        <v>6991607.3650881946</v>
      </c>
      <c r="F14" s="237">
        <v>1274032.8524907953</v>
      </c>
      <c r="G14" s="237">
        <f t="shared" si="3"/>
        <v>5717574.5125973988</v>
      </c>
      <c r="H14" s="138">
        <v>1217587.7755542144</v>
      </c>
      <c r="I14" s="234">
        <v>38569.950000000026</v>
      </c>
      <c r="J14" s="34">
        <f t="shared" si="1"/>
        <v>4.6958212191272262</v>
      </c>
      <c r="K14" s="55">
        <f t="shared" si="0"/>
        <v>0.91358389477183399</v>
      </c>
      <c r="L14" s="80">
        <f t="shared" si="2"/>
        <v>31.6</v>
      </c>
      <c r="M14" s="45"/>
    </row>
    <row r="15" spans="1:14" ht="15.75" x14ac:dyDescent="0.25">
      <c r="A15" s="137" t="s">
        <v>18</v>
      </c>
      <c r="B15" s="236">
        <v>17</v>
      </c>
      <c r="C15" s="137" t="s">
        <v>24</v>
      </c>
      <c r="D15" s="137" t="s">
        <v>7</v>
      </c>
      <c r="E15" s="237">
        <v>6364218.6786776735</v>
      </c>
      <c r="F15" s="237">
        <v>1402319.8781011661</v>
      </c>
      <c r="G15" s="237">
        <f t="shared" si="3"/>
        <v>4961898.8005765071</v>
      </c>
      <c r="H15" s="138">
        <v>1263729.0816228872</v>
      </c>
      <c r="I15" s="234">
        <v>34088.840000000193</v>
      </c>
      <c r="J15" s="34">
        <f t="shared" si="1"/>
        <v>3.9263944090013441</v>
      </c>
      <c r="K15" s="55">
        <f t="shared" si="0"/>
        <v>0.76388996284072852</v>
      </c>
      <c r="L15" s="80">
        <f t="shared" si="2"/>
        <v>37.1</v>
      </c>
      <c r="M15" s="45"/>
    </row>
    <row r="16" spans="1:14" ht="15.75" x14ac:dyDescent="0.25">
      <c r="A16" s="137" t="s">
        <v>18</v>
      </c>
      <c r="B16" s="236">
        <v>18</v>
      </c>
      <c r="C16" s="137" t="s">
        <v>24</v>
      </c>
      <c r="D16" s="137" t="s">
        <v>7</v>
      </c>
      <c r="E16" s="237">
        <v>9821024.6610060688</v>
      </c>
      <c r="F16" s="237">
        <v>1958612.6996716254</v>
      </c>
      <c r="G16" s="237">
        <f t="shared" si="3"/>
        <v>7862411.9613344437</v>
      </c>
      <c r="H16" s="138">
        <v>2308185.5653439043</v>
      </c>
      <c r="I16" s="234">
        <v>53329.889999999919</v>
      </c>
      <c r="J16" s="34">
        <f t="shared" si="1"/>
        <v>3.4063171000564663</v>
      </c>
      <c r="K16" s="55">
        <f t="shared" si="0"/>
        <v>0.66270760701487674</v>
      </c>
      <c r="L16" s="80">
        <f t="shared" si="2"/>
        <v>43.3</v>
      </c>
      <c r="M16" s="45"/>
    </row>
    <row r="17" spans="1:13" ht="15.75" x14ac:dyDescent="0.25">
      <c r="A17" s="137" t="s">
        <v>18</v>
      </c>
      <c r="B17" s="236">
        <v>19</v>
      </c>
      <c r="C17" s="137" t="s">
        <v>24</v>
      </c>
      <c r="D17" s="137" t="s">
        <v>7</v>
      </c>
      <c r="E17" s="237">
        <v>6977505.2664347403</v>
      </c>
      <c r="F17" s="237">
        <v>1410539.885063787</v>
      </c>
      <c r="G17" s="237">
        <f t="shared" si="3"/>
        <v>5566965.3813709533</v>
      </c>
      <c r="H17" s="138">
        <v>1514187.4890914378</v>
      </c>
      <c r="I17" s="234">
        <v>35110.039999999964</v>
      </c>
      <c r="J17" s="34">
        <f t="shared" si="1"/>
        <v>3.6765363744428474</v>
      </c>
      <c r="K17" s="55">
        <f t="shared" si="0"/>
        <v>0.71527945028070961</v>
      </c>
      <c r="L17" s="80">
        <f t="shared" si="2"/>
        <v>43.1</v>
      </c>
      <c r="M17" s="45"/>
    </row>
    <row r="18" spans="1:13" ht="15.75" x14ac:dyDescent="0.25">
      <c r="A18" s="137" t="s">
        <v>18</v>
      </c>
      <c r="B18" s="236">
        <v>21</v>
      </c>
      <c r="C18" s="137" t="s">
        <v>24</v>
      </c>
      <c r="D18" s="137" t="s">
        <v>7</v>
      </c>
      <c r="E18" s="237">
        <v>10789554.871321255</v>
      </c>
      <c r="F18" s="237">
        <v>2161467.9933571541</v>
      </c>
      <c r="G18" s="237">
        <f t="shared" si="3"/>
        <v>8628086.8779641017</v>
      </c>
      <c r="H18" s="138">
        <v>2808846.1722330106</v>
      </c>
      <c r="I18" s="234">
        <v>59311.149999999936</v>
      </c>
      <c r="J18" s="34">
        <f t="shared" si="1"/>
        <v>3.071754859079677</v>
      </c>
      <c r="K18" s="55">
        <f t="shared" si="0"/>
        <v>0.59761767686375045</v>
      </c>
      <c r="L18" s="80">
        <f t="shared" si="2"/>
        <v>47.4</v>
      </c>
      <c r="M18" s="45"/>
    </row>
    <row r="19" spans="1:13" ht="15.75" x14ac:dyDescent="0.25">
      <c r="A19" s="137" t="s">
        <v>18</v>
      </c>
      <c r="B19" s="236">
        <v>22</v>
      </c>
      <c r="C19" s="137" t="s">
        <v>24</v>
      </c>
      <c r="D19" s="137" t="s">
        <v>7</v>
      </c>
      <c r="E19" s="237">
        <v>7540097.1816556845</v>
      </c>
      <c r="F19" s="237">
        <v>1391058.5187104268</v>
      </c>
      <c r="G19" s="237">
        <f t="shared" si="3"/>
        <v>6149038.6629452575</v>
      </c>
      <c r="H19" s="138">
        <v>1386876.9839470331</v>
      </c>
      <c r="I19" s="234">
        <v>43373.860000000052</v>
      </c>
      <c r="J19" s="34">
        <f t="shared" si="1"/>
        <v>4.4337304130934356</v>
      </c>
      <c r="K19" s="55">
        <f t="shared" si="0"/>
        <v>0.86259346558238048</v>
      </c>
      <c r="L19" s="80">
        <f t="shared" si="2"/>
        <v>32</v>
      </c>
      <c r="M19" s="45"/>
    </row>
    <row r="20" spans="1:13" ht="15.75" x14ac:dyDescent="0.25">
      <c r="A20" s="137" t="s">
        <v>18</v>
      </c>
      <c r="B20" s="236">
        <v>25</v>
      </c>
      <c r="C20" s="137" t="s">
        <v>24</v>
      </c>
      <c r="D20" s="137" t="s">
        <v>7</v>
      </c>
      <c r="E20" s="237">
        <v>2088526.9987170175</v>
      </c>
      <c r="F20" s="237">
        <v>316682.67529960966</v>
      </c>
      <c r="G20" s="237">
        <f t="shared" si="3"/>
        <v>1771844.3234174079</v>
      </c>
      <c r="H20" s="138">
        <v>229364.29061014342</v>
      </c>
      <c r="I20" s="234">
        <v>11314.949999999957</v>
      </c>
      <c r="J20" s="34">
        <f t="shared" si="1"/>
        <v>7.7250225774205576</v>
      </c>
      <c r="K20" s="55">
        <f t="shared" si="0"/>
        <v>1.5029226804320153</v>
      </c>
      <c r="L20" s="80">
        <f t="shared" si="2"/>
        <v>20.3</v>
      </c>
      <c r="M20" s="45"/>
    </row>
    <row r="21" spans="1:13" ht="15.75" x14ac:dyDescent="0.25">
      <c r="A21" s="137" t="s">
        <v>18</v>
      </c>
      <c r="B21" s="236">
        <v>54</v>
      </c>
      <c r="C21" s="137" t="s">
        <v>24</v>
      </c>
      <c r="D21" s="137" t="s">
        <v>7</v>
      </c>
      <c r="E21" s="237">
        <v>6279223.7968083592</v>
      </c>
      <c r="F21" s="237">
        <v>1160368.1008092971</v>
      </c>
      <c r="G21" s="237">
        <f t="shared" si="3"/>
        <v>5118855.6959990617</v>
      </c>
      <c r="H21" s="138">
        <v>1155359.3009982756</v>
      </c>
      <c r="I21" s="234">
        <v>34157.409999999953</v>
      </c>
      <c r="J21" s="34">
        <f t="shared" si="1"/>
        <v>4.4305314299856073</v>
      </c>
      <c r="K21" s="55">
        <f t="shared" si="0"/>
        <v>0.86197109532793925</v>
      </c>
      <c r="L21" s="80">
        <f t="shared" si="2"/>
        <v>33.799999999999997</v>
      </c>
      <c r="M21" s="45"/>
    </row>
    <row r="22" spans="1:13" ht="15.75" x14ac:dyDescent="0.25">
      <c r="A22" s="137" t="s">
        <v>18</v>
      </c>
      <c r="B22" s="236">
        <v>59</v>
      </c>
      <c r="C22" s="137" t="s">
        <v>24</v>
      </c>
      <c r="D22" s="137" t="s">
        <v>7</v>
      </c>
      <c r="E22" s="237">
        <v>941796.04162468773</v>
      </c>
      <c r="F22" s="237">
        <v>221579.80497738809</v>
      </c>
      <c r="G22" s="237">
        <f t="shared" si="3"/>
        <v>720216.23664729961</v>
      </c>
      <c r="H22" s="138">
        <v>138883.43304513514</v>
      </c>
      <c r="I22" s="234">
        <v>4235.6599999999835</v>
      </c>
      <c r="J22" s="34">
        <f t="shared" si="1"/>
        <v>5.1857606112979617</v>
      </c>
      <c r="K22" s="55">
        <f t="shared" si="0"/>
        <v>1.0089028426649731</v>
      </c>
      <c r="L22" s="80">
        <f t="shared" si="2"/>
        <v>32.799999999999997</v>
      </c>
      <c r="M22" s="45"/>
    </row>
    <row r="23" spans="1:13" ht="15.75" x14ac:dyDescent="0.25">
      <c r="A23" s="137" t="s">
        <v>18</v>
      </c>
      <c r="B23" s="236">
        <v>61</v>
      </c>
      <c r="C23" s="137" t="s">
        <v>24</v>
      </c>
      <c r="D23" s="137" t="s">
        <v>7</v>
      </c>
      <c r="E23" s="237">
        <v>3854303.6453860905</v>
      </c>
      <c r="F23" s="237">
        <v>714683.08771698887</v>
      </c>
      <c r="G23" s="237">
        <f t="shared" si="3"/>
        <v>3139620.5576691017</v>
      </c>
      <c r="H23" s="138">
        <v>620602.27813490166</v>
      </c>
      <c r="I23" s="234">
        <v>21756.000000000073</v>
      </c>
      <c r="J23" s="34">
        <f t="shared" si="1"/>
        <v>5.058989739942005</v>
      </c>
      <c r="K23" s="55">
        <f t="shared" si="0"/>
        <v>0.98423924901595439</v>
      </c>
      <c r="L23" s="80">
        <f t="shared" si="2"/>
        <v>28.5</v>
      </c>
      <c r="M23" s="45"/>
    </row>
    <row r="24" spans="1:13" ht="15.75" x14ac:dyDescent="0.25">
      <c r="A24" s="137" t="s">
        <v>18</v>
      </c>
      <c r="B24" s="236">
        <v>62</v>
      </c>
      <c r="C24" s="137" t="s">
        <v>24</v>
      </c>
      <c r="D24" s="137" t="s">
        <v>7</v>
      </c>
      <c r="E24" s="237">
        <v>4239345.2568004411</v>
      </c>
      <c r="F24" s="237">
        <v>591695.69637379854</v>
      </c>
      <c r="G24" s="237">
        <f t="shared" si="3"/>
        <v>3647649.5604266427</v>
      </c>
      <c r="H24" s="138">
        <v>639637.39509343007</v>
      </c>
      <c r="I24" s="234">
        <v>22834.660000000058</v>
      </c>
      <c r="J24" s="34">
        <f t="shared" si="1"/>
        <v>5.7026834084549431</v>
      </c>
      <c r="K24" s="55">
        <f t="shared" si="0"/>
        <v>1.1094714802441525</v>
      </c>
      <c r="L24" s="80">
        <f t="shared" si="2"/>
        <v>28</v>
      </c>
      <c r="M24" s="45"/>
    </row>
    <row r="25" spans="1:13" ht="15.75" x14ac:dyDescent="0.25">
      <c r="A25" s="137" t="s">
        <v>18</v>
      </c>
      <c r="B25" s="236">
        <v>63</v>
      </c>
      <c r="C25" s="137" t="s">
        <v>24</v>
      </c>
      <c r="D25" s="137" t="s">
        <v>7</v>
      </c>
      <c r="E25" s="237">
        <v>5453775.9134350559</v>
      </c>
      <c r="F25" s="237">
        <v>1033073.0309554563</v>
      </c>
      <c r="G25" s="237">
        <f t="shared" si="3"/>
        <v>4420702.8824795997</v>
      </c>
      <c r="H25" s="138">
        <v>1023116.5316100802</v>
      </c>
      <c r="I25" s="234">
        <v>31867.579999999856</v>
      </c>
      <c r="J25" s="34">
        <f t="shared" si="1"/>
        <v>4.3208204988367571</v>
      </c>
      <c r="K25" s="55">
        <f t="shared" si="0"/>
        <v>0.84062655619392168</v>
      </c>
      <c r="L25" s="80">
        <f t="shared" si="2"/>
        <v>32.1</v>
      </c>
      <c r="M25" s="45"/>
    </row>
    <row r="26" spans="1:13" ht="15.75" x14ac:dyDescent="0.25">
      <c r="A26" s="137" t="s">
        <v>18</v>
      </c>
      <c r="B26" s="236">
        <v>64</v>
      </c>
      <c r="C26" s="137" t="s">
        <v>24</v>
      </c>
      <c r="D26" s="137" t="s">
        <v>7</v>
      </c>
      <c r="E26" s="237">
        <v>6036968.8564401576</v>
      </c>
      <c r="F26" s="237">
        <v>1069064.6575304514</v>
      </c>
      <c r="G26" s="237">
        <f t="shared" si="3"/>
        <v>4967904.1989097064</v>
      </c>
      <c r="H26" s="138">
        <v>1106637.2434178148</v>
      </c>
      <c r="I26" s="234">
        <v>32159.050000000112</v>
      </c>
      <c r="J26" s="34">
        <f t="shared" si="1"/>
        <v>4.4891894145605367</v>
      </c>
      <c r="K26" s="55">
        <f t="shared" si="0"/>
        <v>0.87338315458376203</v>
      </c>
      <c r="L26" s="80">
        <f t="shared" si="2"/>
        <v>34.4</v>
      </c>
      <c r="M26" s="45"/>
    </row>
    <row r="27" spans="1:13" ht="15.75" x14ac:dyDescent="0.25">
      <c r="A27" s="137" t="s">
        <v>18</v>
      </c>
      <c r="B27" s="236">
        <v>67</v>
      </c>
      <c r="C27" s="137" t="s">
        <v>24</v>
      </c>
      <c r="D27" s="137" t="s">
        <v>7</v>
      </c>
      <c r="E27" s="237">
        <v>2979471.6014236677</v>
      </c>
      <c r="F27" s="237">
        <v>294455.49829735036</v>
      </c>
      <c r="G27" s="237">
        <f t="shared" si="3"/>
        <v>2685016.1031263173</v>
      </c>
      <c r="H27" s="138">
        <v>285247.72617990605</v>
      </c>
      <c r="I27" s="234">
        <v>15835.399999999989</v>
      </c>
      <c r="J27" s="34">
        <f t="shared" si="1"/>
        <v>9.4129272793321928</v>
      </c>
      <c r="K27" s="55">
        <f t="shared" si="0"/>
        <v>1.8313088092085978</v>
      </c>
      <c r="L27" s="80">
        <f t="shared" si="2"/>
        <v>18</v>
      </c>
      <c r="M27" s="45"/>
    </row>
    <row r="28" spans="1:13" ht="15.75" x14ac:dyDescent="0.25">
      <c r="A28" s="137" t="s">
        <v>18</v>
      </c>
      <c r="B28" s="236">
        <v>68</v>
      </c>
      <c r="C28" s="137" t="s">
        <v>24</v>
      </c>
      <c r="D28" s="137" t="s">
        <v>7</v>
      </c>
      <c r="E28" s="237">
        <v>4772499.4708147626</v>
      </c>
      <c r="F28" s="237">
        <v>727220.71499248559</v>
      </c>
      <c r="G28" s="237">
        <f t="shared" si="3"/>
        <v>4045278.7558222772</v>
      </c>
      <c r="H28" s="138">
        <v>745908.75919539412</v>
      </c>
      <c r="I28" s="234">
        <v>26305.199999999877</v>
      </c>
      <c r="J28" s="34">
        <f t="shared" si="1"/>
        <v>5.4232889826711341</v>
      </c>
      <c r="K28" s="55">
        <f t="shared" si="0"/>
        <v>1.0551145880683142</v>
      </c>
      <c r="L28" s="80">
        <f t="shared" si="2"/>
        <v>28.4</v>
      </c>
      <c r="M28" s="45"/>
    </row>
    <row r="29" spans="1:13" ht="15.75" x14ac:dyDescent="0.25">
      <c r="A29" s="137" t="s">
        <v>18</v>
      </c>
      <c r="B29" s="236">
        <v>70</v>
      </c>
      <c r="C29" s="137" t="s">
        <v>24</v>
      </c>
      <c r="D29" s="137" t="s">
        <v>7</v>
      </c>
      <c r="E29" s="237">
        <v>1801984.1803154997</v>
      </c>
      <c r="F29" s="237">
        <v>243455.91635698607</v>
      </c>
      <c r="G29" s="237">
        <f t="shared" si="3"/>
        <v>1558528.2639585135</v>
      </c>
      <c r="H29" s="138">
        <v>211935.91966920329</v>
      </c>
      <c r="I29" s="234">
        <v>9566.3499999999785</v>
      </c>
      <c r="J29" s="34">
        <f t="shared" si="1"/>
        <v>7.3537712077835451</v>
      </c>
      <c r="K29" s="55">
        <f t="shared" si="0"/>
        <v>1.4306947875065263</v>
      </c>
      <c r="L29" s="80">
        <f t="shared" si="2"/>
        <v>22.2</v>
      </c>
      <c r="M29" s="45"/>
    </row>
    <row r="30" spans="1:13" ht="15.75" x14ac:dyDescent="0.25">
      <c r="A30" s="137" t="s">
        <v>18</v>
      </c>
      <c r="B30" s="236">
        <v>71</v>
      </c>
      <c r="C30" s="137" t="s">
        <v>24</v>
      </c>
      <c r="D30" s="137" t="s">
        <v>7</v>
      </c>
      <c r="E30" s="237">
        <v>3425476.0833892557</v>
      </c>
      <c r="F30" s="237">
        <v>371317.47380909807</v>
      </c>
      <c r="G30" s="237">
        <f t="shared" si="3"/>
        <v>3054158.6095801578</v>
      </c>
      <c r="H30" s="138">
        <v>392869.62825146335</v>
      </c>
      <c r="I30" s="234">
        <v>18363.239999999998</v>
      </c>
      <c r="J30" s="34">
        <f t="shared" si="1"/>
        <v>7.773974850571264</v>
      </c>
      <c r="K30" s="55">
        <f t="shared" si="0"/>
        <v>1.5124464689827364</v>
      </c>
      <c r="L30" s="80">
        <f t="shared" si="2"/>
        <v>21.4</v>
      </c>
      <c r="M30" s="45"/>
    </row>
    <row r="31" spans="1:13" ht="15.75" x14ac:dyDescent="0.25">
      <c r="A31" s="137" t="s">
        <v>18</v>
      </c>
      <c r="B31" s="236">
        <v>74</v>
      </c>
      <c r="C31" s="137" t="s">
        <v>24</v>
      </c>
      <c r="D31" s="137" t="s">
        <v>7</v>
      </c>
      <c r="E31" s="237">
        <v>5612809.9073081287</v>
      </c>
      <c r="F31" s="237">
        <v>1066357.1896516674</v>
      </c>
      <c r="G31" s="237">
        <f t="shared" si="3"/>
        <v>4546452.7176564615</v>
      </c>
      <c r="H31" s="138">
        <v>1056653.8539087635</v>
      </c>
      <c r="I31" s="234">
        <v>31594.829999999896</v>
      </c>
      <c r="J31" s="34">
        <f t="shared" si="1"/>
        <v>4.3026888141639468</v>
      </c>
      <c r="K31" s="55">
        <f t="shared" si="0"/>
        <v>0.83709899108247998</v>
      </c>
      <c r="L31" s="80">
        <f t="shared" si="2"/>
        <v>33.4</v>
      </c>
      <c r="M31" s="45"/>
    </row>
    <row r="32" spans="1:13" ht="15.75" x14ac:dyDescent="0.25">
      <c r="A32" s="137" t="s">
        <v>18</v>
      </c>
      <c r="B32" s="236">
        <v>75</v>
      </c>
      <c r="C32" s="137" t="s">
        <v>24</v>
      </c>
      <c r="D32" s="137" t="s">
        <v>7</v>
      </c>
      <c r="E32" s="237">
        <v>1495917.0716476811</v>
      </c>
      <c r="F32" s="237">
        <v>178446.89112878</v>
      </c>
      <c r="G32" s="237">
        <f t="shared" si="3"/>
        <v>1317470.180518901</v>
      </c>
      <c r="H32" s="138">
        <v>170156.37409372488</v>
      </c>
      <c r="I32" s="234">
        <v>7885.9499999999643</v>
      </c>
      <c r="J32" s="34">
        <f t="shared" si="1"/>
        <v>7.7427024849108337</v>
      </c>
      <c r="K32" s="55">
        <f t="shared" si="0"/>
        <v>1.5063623511499677</v>
      </c>
      <c r="L32" s="80">
        <f t="shared" si="2"/>
        <v>21.6</v>
      </c>
      <c r="M32" s="45"/>
    </row>
    <row r="33" spans="1:13" ht="15.75" x14ac:dyDescent="0.25">
      <c r="A33" s="137" t="s">
        <v>18</v>
      </c>
      <c r="B33" s="236">
        <v>141</v>
      </c>
      <c r="C33" s="137" t="s">
        <v>24</v>
      </c>
      <c r="D33" s="137" t="s">
        <v>7</v>
      </c>
      <c r="E33" s="237">
        <v>439205.77150801738</v>
      </c>
      <c r="F33" s="237">
        <v>141847.99507788455</v>
      </c>
      <c r="G33" s="237">
        <f t="shared" si="3"/>
        <v>297357.7764301328</v>
      </c>
      <c r="H33" s="138">
        <v>84768.559102220694</v>
      </c>
      <c r="I33" s="234">
        <v>2302.1400000000026</v>
      </c>
      <c r="J33" s="34">
        <f t="shared" si="1"/>
        <v>3.5078781517514654</v>
      </c>
      <c r="K33" s="55">
        <f t="shared" si="0"/>
        <v>0.68246656648861204</v>
      </c>
      <c r="L33" s="80">
        <f t="shared" si="2"/>
        <v>36.799999999999997</v>
      </c>
      <c r="M33" s="45"/>
    </row>
    <row r="34" spans="1:13" ht="15.75" x14ac:dyDescent="0.25">
      <c r="A34" s="137" t="s">
        <v>18</v>
      </c>
      <c r="B34" s="236">
        <v>262</v>
      </c>
      <c r="C34" s="137" t="s">
        <v>24</v>
      </c>
      <c r="D34" s="137" t="s">
        <v>7</v>
      </c>
      <c r="E34" s="237">
        <v>240032.70814741889</v>
      </c>
      <c r="F34" s="237">
        <v>40790.648659634797</v>
      </c>
      <c r="G34" s="237">
        <f t="shared" si="3"/>
        <v>199242.05948778411</v>
      </c>
      <c r="H34" s="138">
        <v>23081.544469575081</v>
      </c>
      <c r="I34" s="234">
        <v>1029.1399999999996</v>
      </c>
      <c r="J34" s="34">
        <f t="shared" si="1"/>
        <v>8.6320939116710704</v>
      </c>
      <c r="K34" s="55">
        <f t="shared" si="0"/>
        <v>1.6793957026597415</v>
      </c>
      <c r="L34" s="80">
        <f t="shared" si="2"/>
        <v>22.4</v>
      </c>
      <c r="M34" s="45"/>
    </row>
    <row r="35" spans="1:13" ht="15.75" x14ac:dyDescent="0.25">
      <c r="A35" s="137" t="s">
        <v>18</v>
      </c>
      <c r="B35" s="236">
        <v>824</v>
      </c>
      <c r="C35" s="137" t="s">
        <v>24</v>
      </c>
      <c r="D35" s="137" t="s">
        <v>7</v>
      </c>
      <c r="E35" s="237">
        <v>281618.42880834889</v>
      </c>
      <c r="F35" s="237">
        <v>80265.95493214317</v>
      </c>
      <c r="G35" s="237">
        <f t="shared" si="3"/>
        <v>201352.47387620574</v>
      </c>
      <c r="H35" s="138">
        <v>40912.379874572194</v>
      </c>
      <c r="I35" s="234">
        <v>1164.9000000000019</v>
      </c>
      <c r="J35" s="34">
        <f t="shared" si="1"/>
        <v>4.9215536835917497</v>
      </c>
      <c r="K35" s="55">
        <f t="shared" si="0"/>
        <v>0.95750071665209147</v>
      </c>
      <c r="L35" s="80">
        <f t="shared" si="2"/>
        <v>35.1</v>
      </c>
      <c r="M35" s="45"/>
    </row>
    <row r="36" spans="1:13" ht="15.75" x14ac:dyDescent="0.25">
      <c r="A36" s="137" t="s">
        <v>18</v>
      </c>
      <c r="B36" s="236">
        <v>825</v>
      </c>
      <c r="C36" s="137" t="s">
        <v>24</v>
      </c>
      <c r="D36" s="137" t="s">
        <v>7</v>
      </c>
      <c r="E36" s="237">
        <v>965458.13928721461</v>
      </c>
      <c r="F36" s="237">
        <v>273539.40012228349</v>
      </c>
      <c r="G36" s="237">
        <f t="shared" si="3"/>
        <v>691918.73916493112</v>
      </c>
      <c r="H36" s="138">
        <v>138891.73128150744</v>
      </c>
      <c r="I36" s="234">
        <v>4634.1200000000035</v>
      </c>
      <c r="J36" s="34">
        <f t="shared" si="1"/>
        <v>4.9817129701014515</v>
      </c>
      <c r="K36" s="55">
        <f t="shared" ref="K36:K67" si="4">+IF(D36="Weekday",J36/$J$89,IF(D36="Saturday",J36/$J$90,IF(D36="Sunday",J36/$J$91,"NA")))</f>
        <v>0.96920485799639144</v>
      </c>
      <c r="L36" s="80">
        <f t="shared" si="2"/>
        <v>30</v>
      </c>
      <c r="M36" s="45"/>
    </row>
    <row r="37" spans="1:13" ht="15.75" x14ac:dyDescent="0.25">
      <c r="A37" s="137" t="s">
        <v>18</v>
      </c>
      <c r="B37" s="236">
        <v>2</v>
      </c>
      <c r="C37" s="137" t="s">
        <v>24</v>
      </c>
      <c r="D37" s="137" t="s">
        <v>8</v>
      </c>
      <c r="E37" s="237">
        <v>899508.99767626182</v>
      </c>
      <c r="F37" s="237">
        <v>116567.63109785</v>
      </c>
      <c r="G37" s="237">
        <f t="shared" si="3"/>
        <v>782941.36657841178</v>
      </c>
      <c r="H37" s="138">
        <v>160818.78361578516</v>
      </c>
      <c r="I37" s="234">
        <v>5012.3199999999961</v>
      </c>
      <c r="J37" s="34">
        <f t="shared" si="1"/>
        <v>4.8684696462382782</v>
      </c>
      <c r="K37" s="55">
        <f t="shared" si="4"/>
        <v>0.67244055887269039</v>
      </c>
      <c r="L37" s="80">
        <f t="shared" si="2"/>
        <v>32.1</v>
      </c>
      <c r="M37" s="45"/>
    </row>
    <row r="38" spans="1:13" ht="15.75" x14ac:dyDescent="0.25">
      <c r="A38" s="137" t="s">
        <v>18</v>
      </c>
      <c r="B38" s="236">
        <v>3</v>
      </c>
      <c r="C38" s="137" t="s">
        <v>24</v>
      </c>
      <c r="D38" s="137" t="s">
        <v>8</v>
      </c>
      <c r="E38" s="237">
        <v>981675.20895271678</v>
      </c>
      <c r="F38" s="237">
        <v>100224.47901019265</v>
      </c>
      <c r="G38" s="237">
        <f t="shared" si="3"/>
        <v>881450.72994252411</v>
      </c>
      <c r="H38" s="138">
        <v>123263.04035381159</v>
      </c>
      <c r="I38" s="234">
        <v>5338.3199999999961</v>
      </c>
      <c r="J38" s="34">
        <f t="shared" si="1"/>
        <v>7.1509734581625342</v>
      </c>
      <c r="K38" s="55">
        <f t="shared" si="4"/>
        <v>0.98770351632079201</v>
      </c>
      <c r="L38" s="80">
        <f t="shared" si="2"/>
        <v>23.1</v>
      </c>
      <c r="M38" s="45"/>
    </row>
    <row r="39" spans="1:13" ht="15.75" x14ac:dyDescent="0.25">
      <c r="A39" s="137" t="s">
        <v>18</v>
      </c>
      <c r="B39" s="236">
        <v>4</v>
      </c>
      <c r="C39" s="137" t="s">
        <v>24</v>
      </c>
      <c r="D39" s="137" t="s">
        <v>8</v>
      </c>
      <c r="E39" s="237">
        <v>1246919.8017136559</v>
      </c>
      <c r="F39" s="237">
        <v>147067.72418291651</v>
      </c>
      <c r="G39" s="237">
        <f t="shared" si="3"/>
        <v>1099852.0775307394</v>
      </c>
      <c r="H39" s="138">
        <v>156183.1813223045</v>
      </c>
      <c r="I39" s="234">
        <v>6860.06</v>
      </c>
      <c r="J39" s="34">
        <f t="shared" si="1"/>
        <v>7.0420647615126377</v>
      </c>
      <c r="K39" s="55">
        <f t="shared" si="4"/>
        <v>0.97266087866196649</v>
      </c>
      <c r="L39" s="80">
        <f t="shared" si="2"/>
        <v>22.8</v>
      </c>
      <c r="M39" s="45"/>
    </row>
    <row r="40" spans="1:13" ht="15.75" x14ac:dyDescent="0.25">
      <c r="A40" s="137" t="s">
        <v>18</v>
      </c>
      <c r="B40" s="236">
        <v>5</v>
      </c>
      <c r="C40" s="137" t="s">
        <v>24</v>
      </c>
      <c r="D40" s="137" t="s">
        <v>8</v>
      </c>
      <c r="E40" s="237">
        <v>2020622.4027632892</v>
      </c>
      <c r="F40" s="237">
        <v>382708.05711591325</v>
      </c>
      <c r="G40" s="237">
        <f t="shared" si="3"/>
        <v>1637914.345647376</v>
      </c>
      <c r="H40" s="138">
        <v>478408.88605676213</v>
      </c>
      <c r="I40" s="234">
        <v>11219.44</v>
      </c>
      <c r="J40" s="34">
        <f t="shared" si="1"/>
        <v>3.4236704070188222</v>
      </c>
      <c r="K40" s="55">
        <f t="shared" si="4"/>
        <v>0.47288265290315223</v>
      </c>
      <c r="L40" s="80">
        <f t="shared" si="2"/>
        <v>42.6</v>
      </c>
      <c r="M40" s="45"/>
    </row>
    <row r="41" spans="1:13" ht="15.75" x14ac:dyDescent="0.25">
      <c r="A41" s="137" t="s">
        <v>18</v>
      </c>
      <c r="B41" s="236">
        <v>6</v>
      </c>
      <c r="C41" s="137" t="s">
        <v>24</v>
      </c>
      <c r="D41" s="137" t="s">
        <v>8</v>
      </c>
      <c r="E41" s="237">
        <v>1360931.5908170936</v>
      </c>
      <c r="F41" s="237">
        <v>185778.56537848199</v>
      </c>
      <c r="G41" s="237">
        <f t="shared" si="3"/>
        <v>1175153.0254386116</v>
      </c>
      <c r="H41" s="138">
        <v>220674.99984879026</v>
      </c>
      <c r="I41" s="234">
        <v>7383.4799999999923</v>
      </c>
      <c r="J41" s="34">
        <f t="shared" si="1"/>
        <v>5.3252657810981923</v>
      </c>
      <c r="K41" s="55">
        <f t="shared" si="4"/>
        <v>0.73553394766549618</v>
      </c>
      <c r="L41" s="80">
        <f t="shared" si="2"/>
        <v>29.9</v>
      </c>
      <c r="M41" s="45"/>
    </row>
    <row r="42" spans="1:13" ht="15.75" x14ac:dyDescent="0.25">
      <c r="A42" s="137" t="s">
        <v>18</v>
      </c>
      <c r="B42" s="236">
        <v>7</v>
      </c>
      <c r="C42" s="137" t="s">
        <v>24</v>
      </c>
      <c r="D42" s="137" t="s">
        <v>8</v>
      </c>
      <c r="E42" s="237">
        <v>639957.49983732391</v>
      </c>
      <c r="F42" s="237">
        <v>42424.304333728789</v>
      </c>
      <c r="G42" s="237">
        <f t="shared" si="3"/>
        <v>597533.19550359517</v>
      </c>
      <c r="H42" s="138">
        <v>53115.973739597837</v>
      </c>
      <c r="I42" s="234">
        <v>3727.3599999999974</v>
      </c>
      <c r="J42" s="34">
        <f t="shared" si="1"/>
        <v>11.249595054644278</v>
      </c>
      <c r="K42" s="55">
        <f t="shared" si="4"/>
        <v>1.5538114716359499</v>
      </c>
      <c r="L42" s="80">
        <f t="shared" si="2"/>
        <v>14.3</v>
      </c>
      <c r="M42" s="45"/>
    </row>
    <row r="43" spans="1:13" ht="15.75" x14ac:dyDescent="0.25">
      <c r="A43" s="137" t="s">
        <v>18</v>
      </c>
      <c r="B43" s="236">
        <v>9</v>
      </c>
      <c r="C43" s="137" t="s">
        <v>24</v>
      </c>
      <c r="D43" s="137" t="s">
        <v>8</v>
      </c>
      <c r="E43" s="237">
        <v>697816.67105549306</v>
      </c>
      <c r="F43" s="237">
        <v>68139.512401305634</v>
      </c>
      <c r="G43" s="237">
        <f t="shared" si="3"/>
        <v>629677.15865418746</v>
      </c>
      <c r="H43" s="138">
        <v>81346.573878190131</v>
      </c>
      <c r="I43" s="234">
        <v>3913.7799999999961</v>
      </c>
      <c r="J43" s="34">
        <f t="shared" si="1"/>
        <v>7.7406721467713897</v>
      </c>
      <c r="K43" s="55">
        <f t="shared" si="4"/>
        <v>1.0691536114325124</v>
      </c>
      <c r="L43" s="80">
        <f t="shared" si="2"/>
        <v>20.8</v>
      </c>
      <c r="M43" s="45"/>
    </row>
    <row r="44" spans="1:13" ht="15.75" x14ac:dyDescent="0.25">
      <c r="A44" s="137" t="s">
        <v>18</v>
      </c>
      <c r="B44" s="236">
        <v>10</v>
      </c>
      <c r="C44" s="137" t="s">
        <v>24</v>
      </c>
      <c r="D44" s="137" t="s">
        <v>8</v>
      </c>
      <c r="E44" s="237">
        <v>1331449.8850120723</v>
      </c>
      <c r="F44" s="237">
        <v>179688.98223905513</v>
      </c>
      <c r="G44" s="237">
        <f t="shared" si="3"/>
        <v>1151760.9027730171</v>
      </c>
      <c r="H44" s="138">
        <v>233790.36243522327</v>
      </c>
      <c r="I44" s="234">
        <v>7345.5600000000022</v>
      </c>
      <c r="J44" s="34">
        <f t="shared" si="1"/>
        <v>4.9264686994620561</v>
      </c>
      <c r="K44" s="55">
        <f t="shared" si="4"/>
        <v>0.68045147782625082</v>
      </c>
      <c r="L44" s="80">
        <f t="shared" si="2"/>
        <v>31.8</v>
      </c>
      <c r="M44" s="45"/>
    </row>
    <row r="45" spans="1:13" ht="15.75" x14ac:dyDescent="0.25">
      <c r="A45" s="137" t="s">
        <v>18</v>
      </c>
      <c r="B45" s="236">
        <v>11</v>
      </c>
      <c r="C45" s="137" t="s">
        <v>24</v>
      </c>
      <c r="D45" s="137" t="s">
        <v>8</v>
      </c>
      <c r="E45" s="237">
        <v>971114.10532929306</v>
      </c>
      <c r="F45" s="237">
        <v>99484.190366925453</v>
      </c>
      <c r="G45" s="237">
        <f t="shared" si="3"/>
        <v>871629.91496236762</v>
      </c>
      <c r="H45" s="138">
        <v>118021.66680515248</v>
      </c>
      <c r="I45" s="234">
        <v>5571.7999999999975</v>
      </c>
      <c r="J45" s="34">
        <f t="shared" si="1"/>
        <v>7.385338121019613</v>
      </c>
      <c r="K45" s="55">
        <f t="shared" si="4"/>
        <v>1.0200743261076812</v>
      </c>
      <c r="L45" s="80">
        <f t="shared" si="2"/>
        <v>21.2</v>
      </c>
      <c r="M45" s="45"/>
    </row>
    <row r="46" spans="1:13" ht="15.75" x14ac:dyDescent="0.25">
      <c r="A46" s="137" t="s">
        <v>18</v>
      </c>
      <c r="B46" s="236">
        <v>14</v>
      </c>
      <c r="C46" s="137" t="s">
        <v>24</v>
      </c>
      <c r="D46" s="137" t="s">
        <v>8</v>
      </c>
      <c r="E46" s="237">
        <v>964835.19919067959</v>
      </c>
      <c r="F46" s="237">
        <v>107261.07978931753</v>
      </c>
      <c r="G46" s="237">
        <f t="shared" si="3"/>
        <v>857574.11940136203</v>
      </c>
      <c r="H46" s="138">
        <v>133117.1960459275</v>
      </c>
      <c r="I46" s="234">
        <v>5547.6599999999953</v>
      </c>
      <c r="J46" s="34">
        <f t="shared" si="1"/>
        <v>6.4422489721424547</v>
      </c>
      <c r="K46" s="55">
        <f t="shared" si="4"/>
        <v>0.88981339394232795</v>
      </c>
      <c r="L46" s="80">
        <f t="shared" si="2"/>
        <v>24</v>
      </c>
      <c r="M46" s="45"/>
    </row>
    <row r="47" spans="1:13" ht="15.75" x14ac:dyDescent="0.25">
      <c r="A47" s="137" t="s">
        <v>18</v>
      </c>
      <c r="B47" s="236">
        <v>17</v>
      </c>
      <c r="C47" s="137" t="s">
        <v>24</v>
      </c>
      <c r="D47" s="137" t="s">
        <v>8</v>
      </c>
      <c r="E47" s="237">
        <v>876281.44542323577</v>
      </c>
      <c r="F47" s="237">
        <v>124783.15985907489</v>
      </c>
      <c r="G47" s="237">
        <f t="shared" si="3"/>
        <v>751498.28556416091</v>
      </c>
      <c r="H47" s="138">
        <v>150222.97304789419</v>
      </c>
      <c r="I47" s="234">
        <v>4836</v>
      </c>
      <c r="J47" s="34">
        <f t="shared" si="1"/>
        <v>5.0025523414755462</v>
      </c>
      <c r="K47" s="55">
        <f t="shared" si="4"/>
        <v>0.69096026815960576</v>
      </c>
      <c r="L47" s="80">
        <f t="shared" si="2"/>
        <v>31.1</v>
      </c>
      <c r="M47" s="45"/>
    </row>
    <row r="48" spans="1:13" ht="15.75" x14ac:dyDescent="0.25">
      <c r="A48" s="137" t="s">
        <v>18</v>
      </c>
      <c r="B48" s="236">
        <v>18</v>
      </c>
      <c r="C48" s="137" t="s">
        <v>24</v>
      </c>
      <c r="D48" s="137" t="s">
        <v>8</v>
      </c>
      <c r="E48" s="237">
        <v>1652530.8126070586</v>
      </c>
      <c r="F48" s="237">
        <v>228387.64674101837</v>
      </c>
      <c r="G48" s="237">
        <f t="shared" si="3"/>
        <v>1424143.1658660402</v>
      </c>
      <c r="H48" s="138">
        <v>330072.72450402152</v>
      </c>
      <c r="I48" s="234">
        <v>9137.2200000000066</v>
      </c>
      <c r="J48" s="34">
        <f t="shared" si="1"/>
        <v>4.3146345036718987</v>
      </c>
      <c r="K48" s="55">
        <f t="shared" si="4"/>
        <v>0.59594399221987548</v>
      </c>
      <c r="L48" s="80">
        <f t="shared" si="2"/>
        <v>36.1</v>
      </c>
      <c r="M48" s="45"/>
    </row>
    <row r="49" spans="1:13" ht="15.75" x14ac:dyDescent="0.25">
      <c r="A49" s="137" t="s">
        <v>18</v>
      </c>
      <c r="B49" s="236">
        <v>19</v>
      </c>
      <c r="C49" s="137" t="s">
        <v>24</v>
      </c>
      <c r="D49" s="137" t="s">
        <v>8</v>
      </c>
      <c r="E49" s="237">
        <v>915852.58056224894</v>
      </c>
      <c r="F49" s="237">
        <v>151705.2090551389</v>
      </c>
      <c r="G49" s="237">
        <f t="shared" si="3"/>
        <v>764147.37150711007</v>
      </c>
      <c r="H49" s="138">
        <v>186948.89267263692</v>
      </c>
      <c r="I49" s="234">
        <v>4576.7299999999977</v>
      </c>
      <c r="J49" s="34">
        <f t="shared" si="1"/>
        <v>4.0874666898679939</v>
      </c>
      <c r="K49" s="55">
        <f t="shared" si="4"/>
        <v>0.56456722235745771</v>
      </c>
      <c r="L49" s="80">
        <f t="shared" si="2"/>
        <v>40.799999999999997</v>
      </c>
      <c r="M49" s="45"/>
    </row>
    <row r="50" spans="1:13" ht="15.75" x14ac:dyDescent="0.25">
      <c r="A50" s="137" t="s">
        <v>18</v>
      </c>
      <c r="B50" s="236">
        <v>21</v>
      </c>
      <c r="C50" s="137" t="s">
        <v>24</v>
      </c>
      <c r="D50" s="137" t="s">
        <v>8</v>
      </c>
      <c r="E50" s="237">
        <v>1924329.3402468034</v>
      </c>
      <c r="F50" s="237">
        <v>283673.99916242558</v>
      </c>
      <c r="G50" s="237">
        <f t="shared" si="3"/>
        <v>1640655.3410843778</v>
      </c>
      <c r="H50" s="138">
        <v>433083.91899121512</v>
      </c>
      <c r="I50" s="234">
        <v>10649.379999999992</v>
      </c>
      <c r="J50" s="34">
        <f t="shared" si="1"/>
        <v>3.7883081526230895</v>
      </c>
      <c r="K50" s="55">
        <f t="shared" si="4"/>
        <v>0.52324698240650402</v>
      </c>
      <c r="L50" s="80">
        <f t="shared" si="2"/>
        <v>40.700000000000003</v>
      </c>
      <c r="M50" s="45"/>
    </row>
    <row r="51" spans="1:13" ht="15.75" x14ac:dyDescent="0.25">
      <c r="A51" s="137" t="s">
        <v>18</v>
      </c>
      <c r="B51" s="236">
        <v>22</v>
      </c>
      <c r="C51" s="137" t="s">
        <v>24</v>
      </c>
      <c r="D51" s="137" t="s">
        <v>8</v>
      </c>
      <c r="E51" s="237">
        <v>1131684.1347163571</v>
      </c>
      <c r="F51" s="237">
        <v>144312.55711759455</v>
      </c>
      <c r="G51" s="237">
        <f t="shared" si="3"/>
        <v>987371.57759876258</v>
      </c>
      <c r="H51" s="138">
        <v>175112.49576708593</v>
      </c>
      <c r="I51" s="234">
        <v>6438.1200000000063</v>
      </c>
      <c r="J51" s="34">
        <f t="shared" si="1"/>
        <v>5.6384986877923788</v>
      </c>
      <c r="K51" s="55">
        <f t="shared" si="4"/>
        <v>0.77879816129728985</v>
      </c>
      <c r="L51" s="80">
        <f t="shared" si="2"/>
        <v>27.2</v>
      </c>
      <c r="M51" s="45"/>
    </row>
    <row r="52" spans="1:13" ht="15.75" x14ac:dyDescent="0.25">
      <c r="A52" s="137" t="s">
        <v>18</v>
      </c>
      <c r="B52" s="236">
        <v>25</v>
      </c>
      <c r="C52" s="137" t="s">
        <v>24</v>
      </c>
      <c r="D52" s="137" t="s">
        <v>8</v>
      </c>
      <c r="E52" s="237">
        <v>149808.1547832998</v>
      </c>
      <c r="F52" s="237">
        <v>9075.6166091352188</v>
      </c>
      <c r="G52" s="237">
        <f t="shared" si="3"/>
        <v>140732.5381741646</v>
      </c>
      <c r="H52" s="138">
        <v>9581.3511713762819</v>
      </c>
      <c r="I52" s="234">
        <v>878.79999999999927</v>
      </c>
      <c r="J52" s="34">
        <f t="shared" si="1"/>
        <v>14.68817243590807</v>
      </c>
      <c r="K52" s="55">
        <f t="shared" si="4"/>
        <v>2.0287530988823299</v>
      </c>
      <c r="L52" s="80">
        <f t="shared" si="2"/>
        <v>10.9</v>
      </c>
      <c r="M52" s="45"/>
    </row>
    <row r="53" spans="1:13" ht="15.75" x14ac:dyDescent="0.25">
      <c r="A53" s="137" t="s">
        <v>18</v>
      </c>
      <c r="B53" s="236">
        <v>54</v>
      </c>
      <c r="C53" s="137" t="s">
        <v>24</v>
      </c>
      <c r="D53" s="137" t="s">
        <v>8</v>
      </c>
      <c r="E53" s="237">
        <v>1013024.3599036513</v>
      </c>
      <c r="F53" s="237">
        <v>161761.57128267162</v>
      </c>
      <c r="G53" s="237">
        <f t="shared" si="3"/>
        <v>851262.78862097964</v>
      </c>
      <c r="H53" s="138">
        <v>176793.92591202483</v>
      </c>
      <c r="I53" s="234">
        <v>5526.2399999999961</v>
      </c>
      <c r="J53" s="34">
        <f t="shared" si="1"/>
        <v>4.8150001999762146</v>
      </c>
      <c r="K53" s="55">
        <f t="shared" si="4"/>
        <v>0.66505527623980865</v>
      </c>
      <c r="L53" s="80">
        <f t="shared" si="2"/>
        <v>32</v>
      </c>
      <c r="M53" s="45"/>
    </row>
    <row r="54" spans="1:13" ht="15.75" x14ac:dyDescent="0.25">
      <c r="A54" s="137" t="s">
        <v>18</v>
      </c>
      <c r="B54" s="236">
        <v>61</v>
      </c>
      <c r="C54" s="137" t="s">
        <v>24</v>
      </c>
      <c r="D54" s="137" t="s">
        <v>8</v>
      </c>
      <c r="E54" s="237">
        <v>287460.03925005492</v>
      </c>
      <c r="F54" s="237">
        <v>26988.519754027286</v>
      </c>
      <c r="G54" s="237">
        <f t="shared" si="3"/>
        <v>260471.51949602764</v>
      </c>
      <c r="H54" s="138">
        <v>31527.074537491684</v>
      </c>
      <c r="I54" s="234">
        <v>1546.4800000000002</v>
      </c>
      <c r="J54" s="34">
        <f t="shared" si="1"/>
        <v>8.2618360034096252</v>
      </c>
      <c r="K54" s="55">
        <f t="shared" si="4"/>
        <v>1.1411375695317161</v>
      </c>
      <c r="L54" s="80">
        <f t="shared" si="2"/>
        <v>20.399999999999999</v>
      </c>
      <c r="M54" s="45"/>
    </row>
    <row r="55" spans="1:13" ht="15.75" x14ac:dyDescent="0.25">
      <c r="A55" s="137" t="s">
        <v>18</v>
      </c>
      <c r="B55" s="236">
        <v>62</v>
      </c>
      <c r="C55" s="137" t="s">
        <v>24</v>
      </c>
      <c r="D55" s="137" t="s">
        <v>8</v>
      </c>
      <c r="E55" s="237">
        <v>691805.91793856851</v>
      </c>
      <c r="F55" s="237">
        <v>66364.271414256553</v>
      </c>
      <c r="G55" s="237">
        <f t="shared" si="3"/>
        <v>625441.64652431197</v>
      </c>
      <c r="H55" s="138">
        <v>82464.761229358643</v>
      </c>
      <c r="I55" s="234">
        <v>3747.6400000000026</v>
      </c>
      <c r="J55" s="34">
        <f t="shared" si="1"/>
        <v>7.5843504207181978</v>
      </c>
      <c r="K55" s="55">
        <f t="shared" si="4"/>
        <v>1.0475622128063808</v>
      </c>
      <c r="L55" s="80">
        <f t="shared" si="2"/>
        <v>22</v>
      </c>
      <c r="M55" s="45"/>
    </row>
    <row r="56" spans="1:13" ht="15.75" x14ac:dyDescent="0.25">
      <c r="A56" s="137" t="s">
        <v>18</v>
      </c>
      <c r="B56" s="236">
        <v>63</v>
      </c>
      <c r="C56" s="137" t="s">
        <v>24</v>
      </c>
      <c r="D56" s="137" t="s">
        <v>8</v>
      </c>
      <c r="E56" s="237">
        <v>986308.06808127218</v>
      </c>
      <c r="F56" s="237">
        <v>117419.34792877251</v>
      </c>
      <c r="G56" s="237">
        <f t="shared" si="3"/>
        <v>868888.72015249962</v>
      </c>
      <c r="H56" s="138">
        <v>137489.32933458735</v>
      </c>
      <c r="I56" s="234">
        <v>5649.2800000000016</v>
      </c>
      <c r="J56" s="34">
        <f t="shared" si="1"/>
        <v>6.3196811298570976</v>
      </c>
      <c r="K56" s="55">
        <f t="shared" si="4"/>
        <v>0.87288413395816267</v>
      </c>
      <c r="L56" s="80">
        <f t="shared" si="2"/>
        <v>24.3</v>
      </c>
      <c r="M56" s="45"/>
    </row>
    <row r="57" spans="1:13" ht="15.75" x14ac:dyDescent="0.25">
      <c r="A57" s="137" t="s">
        <v>18</v>
      </c>
      <c r="B57" s="236">
        <v>64</v>
      </c>
      <c r="C57" s="137" t="s">
        <v>24</v>
      </c>
      <c r="D57" s="137" t="s">
        <v>8</v>
      </c>
      <c r="E57" s="237">
        <v>939863.96472482709</v>
      </c>
      <c r="F57" s="237">
        <v>115731.1635671023</v>
      </c>
      <c r="G57" s="237">
        <f t="shared" si="3"/>
        <v>824132.80115772481</v>
      </c>
      <c r="H57" s="138">
        <v>147087.27697870825</v>
      </c>
      <c r="I57" s="234">
        <v>5169.840000000002</v>
      </c>
      <c r="J57" s="34">
        <f t="shared" si="1"/>
        <v>5.6030189564052018</v>
      </c>
      <c r="K57" s="55">
        <f t="shared" si="4"/>
        <v>0.77389764591232069</v>
      </c>
      <c r="L57" s="80">
        <f t="shared" si="2"/>
        <v>28.5</v>
      </c>
      <c r="M57" s="45"/>
    </row>
    <row r="58" spans="1:13" ht="15.75" x14ac:dyDescent="0.25">
      <c r="A58" s="137" t="s">
        <v>18</v>
      </c>
      <c r="B58" s="236">
        <v>67</v>
      </c>
      <c r="C58" s="137" t="s">
        <v>24</v>
      </c>
      <c r="D58" s="137" t="s">
        <v>8</v>
      </c>
      <c r="E58" s="237">
        <v>488127.88381360378</v>
      </c>
      <c r="F58" s="237">
        <v>23114.729200773552</v>
      </c>
      <c r="G58" s="237">
        <f t="shared" si="3"/>
        <v>465013.15461283026</v>
      </c>
      <c r="H58" s="138">
        <v>28820.812200572695</v>
      </c>
      <c r="I58" s="234">
        <v>2478.4900000000011</v>
      </c>
      <c r="J58" s="34">
        <f t="shared" si="1"/>
        <v>16.134630466923138</v>
      </c>
      <c r="K58" s="55">
        <f t="shared" si="4"/>
        <v>2.228540119740765</v>
      </c>
      <c r="L58" s="80">
        <f t="shared" si="2"/>
        <v>11.6</v>
      </c>
      <c r="M58" s="45"/>
    </row>
    <row r="59" spans="1:13" ht="15.75" x14ac:dyDescent="0.25">
      <c r="A59" s="137" t="s">
        <v>18</v>
      </c>
      <c r="B59" s="236">
        <v>68</v>
      </c>
      <c r="C59" s="137" t="s">
        <v>24</v>
      </c>
      <c r="D59" s="137" t="s">
        <v>8</v>
      </c>
      <c r="E59" s="237">
        <v>803213.1848723765</v>
      </c>
      <c r="F59" s="237">
        <v>89338.908035873421</v>
      </c>
      <c r="G59" s="237">
        <f t="shared" si="3"/>
        <v>713874.27683650306</v>
      </c>
      <c r="H59" s="138">
        <v>104873.11127323023</v>
      </c>
      <c r="I59" s="234">
        <v>4627.4799999999941</v>
      </c>
      <c r="J59" s="34">
        <f t="shared" si="1"/>
        <v>6.8070286860911091</v>
      </c>
      <c r="K59" s="55">
        <f t="shared" si="4"/>
        <v>0.94019733233302605</v>
      </c>
      <c r="L59" s="80">
        <f t="shared" si="2"/>
        <v>22.7</v>
      </c>
      <c r="M59" s="45"/>
    </row>
    <row r="60" spans="1:13" ht="15.75" x14ac:dyDescent="0.25">
      <c r="A60" s="137" t="s">
        <v>18</v>
      </c>
      <c r="B60" s="236">
        <v>70</v>
      </c>
      <c r="C60" s="137" t="s">
        <v>24</v>
      </c>
      <c r="D60" s="137" t="s">
        <v>8</v>
      </c>
      <c r="E60" s="237">
        <v>77255.573120302768</v>
      </c>
      <c r="F60" s="237">
        <v>5745.4250692441274</v>
      </c>
      <c r="G60" s="237">
        <f t="shared" si="3"/>
        <v>71510.148051058641</v>
      </c>
      <c r="H60" s="138">
        <v>6716.3850638368986</v>
      </c>
      <c r="I60" s="234">
        <v>403</v>
      </c>
      <c r="J60" s="34">
        <f t="shared" si="1"/>
        <v>10.64711855728634</v>
      </c>
      <c r="K60" s="55">
        <f t="shared" si="4"/>
        <v>1.4705964858130305</v>
      </c>
      <c r="L60" s="80">
        <f t="shared" si="2"/>
        <v>16.7</v>
      </c>
      <c r="M60" s="45"/>
    </row>
    <row r="61" spans="1:13" ht="15.75" x14ac:dyDescent="0.25">
      <c r="A61" s="137" t="s">
        <v>18</v>
      </c>
      <c r="B61" s="236">
        <v>71</v>
      </c>
      <c r="C61" s="137" t="s">
        <v>24</v>
      </c>
      <c r="D61" s="137" t="s">
        <v>8</v>
      </c>
      <c r="E61" s="237">
        <v>427606.4343903634</v>
      </c>
      <c r="F61" s="237">
        <v>23261.524447377895</v>
      </c>
      <c r="G61" s="237">
        <f t="shared" si="3"/>
        <v>404344.90994298551</v>
      </c>
      <c r="H61" s="138">
        <v>32239.685585963645</v>
      </c>
      <c r="I61" s="234">
        <v>2127.3599999999997</v>
      </c>
      <c r="J61" s="34">
        <f t="shared" si="1"/>
        <v>12.541837880671739</v>
      </c>
      <c r="K61" s="55">
        <f t="shared" si="4"/>
        <v>1.7322980498165386</v>
      </c>
      <c r="L61" s="80">
        <f t="shared" si="2"/>
        <v>15.2</v>
      </c>
      <c r="M61" s="45"/>
    </row>
    <row r="62" spans="1:13" ht="15.75" x14ac:dyDescent="0.25">
      <c r="A62" s="137" t="s">
        <v>18</v>
      </c>
      <c r="B62" s="236">
        <v>74</v>
      </c>
      <c r="C62" s="137" t="s">
        <v>24</v>
      </c>
      <c r="D62" s="137" t="s">
        <v>8</v>
      </c>
      <c r="E62" s="237">
        <v>933274.27610979637</v>
      </c>
      <c r="F62" s="237">
        <v>101795.25449258354</v>
      </c>
      <c r="G62" s="237">
        <f t="shared" si="3"/>
        <v>831479.0216172128</v>
      </c>
      <c r="H62" s="138">
        <v>126954.71825994216</v>
      </c>
      <c r="I62" s="234">
        <v>5389.0000000000009</v>
      </c>
      <c r="J62" s="34">
        <f t="shared" si="1"/>
        <v>6.5494140982987643</v>
      </c>
      <c r="K62" s="55">
        <f t="shared" si="4"/>
        <v>0.9046152069473431</v>
      </c>
      <c r="L62" s="80">
        <f t="shared" si="2"/>
        <v>23.6</v>
      </c>
      <c r="M62" s="45"/>
    </row>
    <row r="63" spans="1:13" ht="15.75" x14ac:dyDescent="0.25">
      <c r="A63" s="137" t="s">
        <v>18</v>
      </c>
      <c r="B63" s="236">
        <v>2</v>
      </c>
      <c r="C63" s="137" t="s">
        <v>24</v>
      </c>
      <c r="D63" s="137" t="s">
        <v>9</v>
      </c>
      <c r="E63" s="237">
        <v>862044.58268712903</v>
      </c>
      <c r="F63" s="237">
        <v>104537.65039096378</v>
      </c>
      <c r="G63" s="237">
        <f t="shared" si="3"/>
        <v>757506.93229616527</v>
      </c>
      <c r="H63" s="138">
        <v>137876.23460544623</v>
      </c>
      <c r="I63" s="234">
        <v>4607.6200000000008</v>
      </c>
      <c r="J63" s="34">
        <f t="shared" si="1"/>
        <v>5.494108063393857</v>
      </c>
      <c r="K63" s="55">
        <f t="shared" si="4"/>
        <v>0.75158797036851677</v>
      </c>
      <c r="L63" s="80">
        <f t="shared" si="2"/>
        <v>29.9</v>
      </c>
      <c r="M63" s="45"/>
    </row>
    <row r="64" spans="1:13" ht="15.75" x14ac:dyDescent="0.25">
      <c r="A64" s="137" t="s">
        <v>18</v>
      </c>
      <c r="B64" s="236">
        <v>3</v>
      </c>
      <c r="C64" s="137" t="s">
        <v>24</v>
      </c>
      <c r="D64" s="137" t="s">
        <v>9</v>
      </c>
      <c r="E64" s="237">
        <v>705975.3986333278</v>
      </c>
      <c r="F64" s="237">
        <v>80411.920882192848</v>
      </c>
      <c r="G64" s="237">
        <f t="shared" si="3"/>
        <v>625563.47775113489</v>
      </c>
      <c r="H64" s="138">
        <v>93079.242829087292</v>
      </c>
      <c r="I64" s="234">
        <v>3922.6399999999971</v>
      </c>
      <c r="J64" s="34">
        <f t="shared" si="1"/>
        <v>6.7207624249780222</v>
      </c>
      <c r="K64" s="55">
        <f t="shared" si="4"/>
        <v>0.91939294459343679</v>
      </c>
      <c r="L64" s="80">
        <f t="shared" si="2"/>
        <v>23.7</v>
      </c>
      <c r="M64" s="45"/>
    </row>
    <row r="65" spans="1:13" ht="15.75" x14ac:dyDescent="0.25">
      <c r="A65" s="137" t="s">
        <v>18</v>
      </c>
      <c r="B65" s="236">
        <v>4</v>
      </c>
      <c r="C65" s="137" t="s">
        <v>24</v>
      </c>
      <c r="D65" s="137" t="s">
        <v>9</v>
      </c>
      <c r="E65" s="237">
        <v>1003043.566922036</v>
      </c>
      <c r="F65" s="237">
        <v>114712.73861583322</v>
      </c>
      <c r="G65" s="237">
        <f t="shared" si="3"/>
        <v>888330.82830620278</v>
      </c>
      <c r="H65" s="138">
        <v>114865.22514503576</v>
      </c>
      <c r="I65" s="234">
        <v>5420.4200000000028</v>
      </c>
      <c r="J65" s="34">
        <f t="shared" si="1"/>
        <v>7.7336794245999405</v>
      </c>
      <c r="K65" s="55">
        <f t="shared" si="4"/>
        <v>1.0579588816142189</v>
      </c>
      <c r="L65" s="80">
        <f t="shared" si="2"/>
        <v>21.2</v>
      </c>
      <c r="M65" s="45"/>
    </row>
    <row r="66" spans="1:13" ht="15.75" x14ac:dyDescent="0.25">
      <c r="A66" s="137" t="s">
        <v>18</v>
      </c>
      <c r="B66" s="236">
        <v>5</v>
      </c>
      <c r="C66" s="137" t="s">
        <v>24</v>
      </c>
      <c r="D66" s="137" t="s">
        <v>9</v>
      </c>
      <c r="E66" s="237">
        <v>1739631.03948258</v>
      </c>
      <c r="F66" s="237">
        <v>351626.81251820276</v>
      </c>
      <c r="G66" s="237">
        <f t="shared" si="3"/>
        <v>1388004.2269643773</v>
      </c>
      <c r="H66" s="138">
        <v>413412.94967065862</v>
      </c>
      <c r="I66" s="234">
        <v>9772.9300000000057</v>
      </c>
      <c r="J66" s="34">
        <f t="shared" si="1"/>
        <v>3.3574280342938394</v>
      </c>
      <c r="K66" s="55">
        <f t="shared" si="4"/>
        <v>0.45929248075155127</v>
      </c>
      <c r="L66" s="80">
        <f t="shared" si="2"/>
        <v>42.3</v>
      </c>
      <c r="M66" s="45"/>
    </row>
    <row r="67" spans="1:13" ht="15.75" x14ac:dyDescent="0.25">
      <c r="A67" s="137" t="s">
        <v>18</v>
      </c>
      <c r="B67" s="236">
        <v>6</v>
      </c>
      <c r="C67" s="137" t="s">
        <v>24</v>
      </c>
      <c r="D67" s="137" t="s">
        <v>9</v>
      </c>
      <c r="E67" s="237">
        <v>1326568.1248736414</v>
      </c>
      <c r="F67" s="237">
        <v>162164.74599825568</v>
      </c>
      <c r="G67" s="237">
        <f t="shared" si="3"/>
        <v>1164403.3788753857</v>
      </c>
      <c r="H67" s="138">
        <v>187796.35006215889</v>
      </c>
      <c r="I67" s="234">
        <v>7089.5699999999897</v>
      </c>
      <c r="J67" s="34">
        <f t="shared" si="1"/>
        <v>6.2003514897386385</v>
      </c>
      <c r="K67" s="55">
        <f t="shared" si="4"/>
        <v>0.84820129818586032</v>
      </c>
      <c r="L67" s="80">
        <f t="shared" si="2"/>
        <v>26.5</v>
      </c>
      <c r="M67" s="45"/>
    </row>
    <row r="68" spans="1:13" ht="15.75" x14ac:dyDescent="0.25">
      <c r="A68" s="137" t="s">
        <v>18</v>
      </c>
      <c r="B68" s="236">
        <v>7</v>
      </c>
      <c r="C68" s="137" t="s">
        <v>24</v>
      </c>
      <c r="D68" s="137" t="s">
        <v>9</v>
      </c>
      <c r="E68" s="237">
        <v>706716.60108814889</v>
      </c>
      <c r="F68" s="237">
        <v>38869.119760344227</v>
      </c>
      <c r="G68" s="237">
        <f t="shared" si="3"/>
        <v>667847.48132780462</v>
      </c>
      <c r="H68" s="138">
        <v>45622.6662954036</v>
      </c>
      <c r="I68" s="234">
        <v>4022.8800000000056</v>
      </c>
      <c r="J68" s="34">
        <f t="shared" si="1"/>
        <v>14.638501770228387</v>
      </c>
      <c r="K68" s="55">
        <f t="shared" ref="K68:K86" si="5">+IF(D68="Weekday",J68/$J$89,IF(D68="Saturday",J68/$J$90,IF(D68="Sunday",J68/$J$91,"NA")))</f>
        <v>2.0025310219190682</v>
      </c>
      <c r="L68" s="80">
        <f t="shared" si="2"/>
        <v>11.3</v>
      </c>
      <c r="M68" s="45"/>
    </row>
    <row r="69" spans="1:13" ht="15.75" x14ac:dyDescent="0.25">
      <c r="A69" s="137" t="s">
        <v>18</v>
      </c>
      <c r="B69" s="236">
        <v>9</v>
      </c>
      <c r="C69" s="137" t="s">
        <v>24</v>
      </c>
      <c r="D69" s="137" t="s">
        <v>9</v>
      </c>
      <c r="E69" s="237">
        <v>727891.06379563164</v>
      </c>
      <c r="F69" s="237">
        <v>64263.653484880291</v>
      </c>
      <c r="G69" s="237">
        <f t="shared" si="3"/>
        <v>663627.41031075129</v>
      </c>
      <c r="H69" s="138">
        <v>75457.937892490954</v>
      </c>
      <c r="I69" s="234">
        <v>4005.0399999999977</v>
      </c>
      <c r="J69" s="34">
        <f t="shared" ref="J69:J86" si="6">+G69/H69</f>
        <v>8.7946666559621267</v>
      </c>
      <c r="K69" s="55">
        <f t="shared" si="5"/>
        <v>1.2031007737294293</v>
      </c>
      <c r="L69" s="80">
        <f t="shared" ref="L69:L86" si="7">ROUND(+H69/I69,1)</f>
        <v>18.8</v>
      </c>
      <c r="M69" s="45"/>
    </row>
    <row r="70" spans="1:13" ht="15.75" x14ac:dyDescent="0.25">
      <c r="A70" s="137" t="s">
        <v>18</v>
      </c>
      <c r="B70" s="236">
        <v>10</v>
      </c>
      <c r="C70" s="137" t="s">
        <v>24</v>
      </c>
      <c r="D70" s="137" t="s">
        <v>9</v>
      </c>
      <c r="E70" s="237">
        <v>1005678.3422530883</v>
      </c>
      <c r="F70" s="237">
        <v>145250.30614874061</v>
      </c>
      <c r="G70" s="237">
        <f t="shared" ref="G70:G86" si="8">E70-F70</f>
        <v>860428.03610434767</v>
      </c>
      <c r="H70" s="138">
        <v>177924.56061775185</v>
      </c>
      <c r="I70" s="234">
        <v>5122.6600000000044</v>
      </c>
      <c r="J70" s="34">
        <f t="shared" si="6"/>
        <v>4.8359149131348271</v>
      </c>
      <c r="K70" s="55">
        <f t="shared" si="5"/>
        <v>0.66154786773390251</v>
      </c>
      <c r="L70" s="80">
        <f t="shared" si="7"/>
        <v>34.700000000000003</v>
      </c>
      <c r="M70" s="45"/>
    </row>
    <row r="71" spans="1:13" ht="15.75" x14ac:dyDescent="0.25">
      <c r="A71" s="137" t="s">
        <v>18</v>
      </c>
      <c r="B71" s="236">
        <v>11</v>
      </c>
      <c r="C71" s="137" t="s">
        <v>24</v>
      </c>
      <c r="D71" s="137" t="s">
        <v>9</v>
      </c>
      <c r="E71" s="237">
        <v>670253.29071331886</v>
      </c>
      <c r="F71" s="237">
        <v>71820.750050998089</v>
      </c>
      <c r="G71" s="237">
        <f t="shared" si="8"/>
        <v>598432.5406623208</v>
      </c>
      <c r="H71" s="138">
        <v>81074.806636997033</v>
      </c>
      <c r="I71" s="234">
        <v>3735.0600000000045</v>
      </c>
      <c r="J71" s="34">
        <f t="shared" si="6"/>
        <v>7.3812391972975346</v>
      </c>
      <c r="K71" s="55">
        <f t="shared" si="5"/>
        <v>1.0097454442267491</v>
      </c>
      <c r="L71" s="80">
        <f t="shared" si="7"/>
        <v>21.7</v>
      </c>
      <c r="M71" s="45"/>
    </row>
    <row r="72" spans="1:13" ht="15.75" x14ac:dyDescent="0.25">
      <c r="A72" s="137" t="s">
        <v>18</v>
      </c>
      <c r="B72" s="236">
        <v>14</v>
      </c>
      <c r="C72" s="137" t="s">
        <v>24</v>
      </c>
      <c r="D72" s="137" t="s">
        <v>9</v>
      </c>
      <c r="E72" s="237">
        <v>941573.2683451284</v>
      </c>
      <c r="F72" s="237">
        <v>96539.494891359165</v>
      </c>
      <c r="G72" s="237">
        <f t="shared" si="8"/>
        <v>845033.77345376927</v>
      </c>
      <c r="H72" s="138">
        <v>109726.54227148395</v>
      </c>
      <c r="I72" s="234">
        <v>5066.2600000000011</v>
      </c>
      <c r="J72" s="34">
        <f t="shared" si="6"/>
        <v>7.7012704124312776</v>
      </c>
      <c r="K72" s="55">
        <f t="shared" si="5"/>
        <v>1.0535253642176852</v>
      </c>
      <c r="L72" s="80">
        <f t="shared" si="7"/>
        <v>21.7</v>
      </c>
      <c r="M72" s="45"/>
    </row>
    <row r="73" spans="1:13" ht="15.75" x14ac:dyDescent="0.25">
      <c r="A73" s="137" t="s">
        <v>18</v>
      </c>
      <c r="B73" s="236">
        <v>17</v>
      </c>
      <c r="C73" s="137" t="s">
        <v>24</v>
      </c>
      <c r="D73" s="137" t="s">
        <v>9</v>
      </c>
      <c r="E73" s="237">
        <v>735342.96751117066</v>
      </c>
      <c r="F73" s="237">
        <v>107155.56399827501</v>
      </c>
      <c r="G73" s="237">
        <f t="shared" si="8"/>
        <v>628187.40351289569</v>
      </c>
      <c r="H73" s="138">
        <v>123921.71286586356</v>
      </c>
      <c r="I73" s="234">
        <v>4056.6599999999971</v>
      </c>
      <c r="J73" s="34">
        <f t="shared" si="6"/>
        <v>5.0692278938466888</v>
      </c>
      <c r="K73" s="55">
        <f t="shared" si="5"/>
        <v>0.69346482815960175</v>
      </c>
      <c r="L73" s="80">
        <f t="shared" si="7"/>
        <v>30.5</v>
      </c>
      <c r="M73" s="45"/>
    </row>
    <row r="74" spans="1:13" ht="15.75" x14ac:dyDescent="0.25">
      <c r="A74" s="137" t="s">
        <v>18</v>
      </c>
      <c r="B74" s="236">
        <v>18</v>
      </c>
      <c r="C74" s="137" t="s">
        <v>24</v>
      </c>
      <c r="D74" s="137" t="s">
        <v>9</v>
      </c>
      <c r="E74" s="237">
        <v>1410471.1426444161</v>
      </c>
      <c r="F74" s="237">
        <v>213977.10685719425</v>
      </c>
      <c r="G74" s="237">
        <f t="shared" si="8"/>
        <v>1196494.0357872217</v>
      </c>
      <c r="H74" s="138">
        <v>290215.257928279</v>
      </c>
      <c r="I74" s="234">
        <v>7574.0100000000039</v>
      </c>
      <c r="J74" s="34">
        <f t="shared" si="6"/>
        <v>4.1227812911301571</v>
      </c>
      <c r="K74" s="55">
        <f t="shared" si="5"/>
        <v>0.56399196869085599</v>
      </c>
      <c r="L74" s="80">
        <f t="shared" si="7"/>
        <v>38.299999999999997</v>
      </c>
      <c r="M74" s="45"/>
    </row>
    <row r="75" spans="1:13" ht="15.75" x14ac:dyDescent="0.25">
      <c r="A75" s="137" t="s">
        <v>18</v>
      </c>
      <c r="B75" s="236">
        <v>19</v>
      </c>
      <c r="C75" s="137" t="s">
        <v>24</v>
      </c>
      <c r="D75" s="137" t="s">
        <v>9</v>
      </c>
      <c r="E75" s="237">
        <v>894079.93034484645</v>
      </c>
      <c r="F75" s="237">
        <v>139526.07204557545</v>
      </c>
      <c r="G75" s="237">
        <f t="shared" si="8"/>
        <v>754553.85829927097</v>
      </c>
      <c r="H75" s="138">
        <v>166353.70727611467</v>
      </c>
      <c r="I75" s="234">
        <v>4472.1600000000035</v>
      </c>
      <c r="J75" s="34">
        <f t="shared" si="6"/>
        <v>4.5358403527903279</v>
      </c>
      <c r="K75" s="55">
        <f t="shared" si="5"/>
        <v>0.62049799627774671</v>
      </c>
      <c r="L75" s="80">
        <f t="shared" si="7"/>
        <v>37.200000000000003</v>
      </c>
      <c r="M75" s="45"/>
    </row>
    <row r="76" spans="1:13" ht="15.75" x14ac:dyDescent="0.25">
      <c r="A76" s="137" t="s">
        <v>18</v>
      </c>
      <c r="B76" s="236">
        <v>21</v>
      </c>
      <c r="C76" s="137" t="s">
        <v>24</v>
      </c>
      <c r="D76" s="137" t="s">
        <v>9</v>
      </c>
      <c r="E76" s="237">
        <v>1536798.7187337126</v>
      </c>
      <c r="F76" s="237">
        <v>245127.97333977566</v>
      </c>
      <c r="G76" s="237">
        <f t="shared" si="8"/>
        <v>1291670.745393937</v>
      </c>
      <c r="H76" s="138">
        <v>351311.02321939764</v>
      </c>
      <c r="I76" s="234">
        <v>8362.0000000000055</v>
      </c>
      <c r="J76" s="34">
        <f t="shared" si="6"/>
        <v>3.6767156736419122</v>
      </c>
      <c r="K76" s="55">
        <f t="shared" si="5"/>
        <v>0.50297068038877046</v>
      </c>
      <c r="L76" s="80">
        <f t="shared" si="7"/>
        <v>42</v>
      </c>
      <c r="M76" s="45"/>
    </row>
    <row r="77" spans="1:13" ht="15.75" x14ac:dyDescent="0.25">
      <c r="A77" s="137" t="s">
        <v>18</v>
      </c>
      <c r="B77" s="236">
        <v>22</v>
      </c>
      <c r="C77" s="137" t="s">
        <v>24</v>
      </c>
      <c r="D77" s="137" t="s">
        <v>9</v>
      </c>
      <c r="E77" s="237">
        <v>905437.2421711284</v>
      </c>
      <c r="F77" s="237">
        <v>124270.32286967496</v>
      </c>
      <c r="G77" s="237">
        <f t="shared" si="8"/>
        <v>781166.9193014534</v>
      </c>
      <c r="H77" s="138">
        <v>146195.21656868514</v>
      </c>
      <c r="I77" s="234">
        <v>5311.6399999999976</v>
      </c>
      <c r="J77" s="34">
        <f t="shared" si="6"/>
        <v>5.3433138076336935</v>
      </c>
      <c r="K77" s="55">
        <f t="shared" si="5"/>
        <v>0.73095948120843968</v>
      </c>
      <c r="L77" s="80">
        <f t="shared" si="7"/>
        <v>27.5</v>
      </c>
      <c r="M77" s="45"/>
    </row>
    <row r="78" spans="1:13" ht="15.75" x14ac:dyDescent="0.25">
      <c r="A78" s="137" t="s">
        <v>18</v>
      </c>
      <c r="B78" s="236">
        <v>54</v>
      </c>
      <c r="C78" s="137" t="s">
        <v>24</v>
      </c>
      <c r="D78" s="137" t="s">
        <v>9</v>
      </c>
      <c r="E78" s="237">
        <v>733791.80541647994</v>
      </c>
      <c r="F78" s="237">
        <v>137335.25592034269</v>
      </c>
      <c r="G78" s="237">
        <f t="shared" si="8"/>
        <v>596456.5494961373</v>
      </c>
      <c r="H78" s="138">
        <v>138096.13786931237</v>
      </c>
      <c r="I78" s="234">
        <v>3950.2200000000003</v>
      </c>
      <c r="J78" s="34">
        <f t="shared" si="6"/>
        <v>4.3191399752293975</v>
      </c>
      <c r="K78" s="55">
        <f t="shared" si="5"/>
        <v>0.5908536217824073</v>
      </c>
      <c r="L78" s="80">
        <f t="shared" si="7"/>
        <v>35</v>
      </c>
      <c r="M78" s="45"/>
    </row>
    <row r="79" spans="1:13" ht="15.75" x14ac:dyDescent="0.25">
      <c r="A79" s="137" t="s">
        <v>18</v>
      </c>
      <c r="B79" s="236">
        <v>62</v>
      </c>
      <c r="C79" s="137" t="s">
        <v>24</v>
      </c>
      <c r="D79" s="137" t="s">
        <v>9</v>
      </c>
      <c r="E79" s="237">
        <v>469148.15045286232</v>
      </c>
      <c r="F79" s="237">
        <v>52060.330285211065</v>
      </c>
      <c r="G79" s="237">
        <f t="shared" si="8"/>
        <v>417087.82016765128</v>
      </c>
      <c r="H79" s="138">
        <v>60854.07915677518</v>
      </c>
      <c r="I79" s="234">
        <v>2424.4</v>
      </c>
      <c r="J79" s="34">
        <f t="shared" si="6"/>
        <v>6.8539007729149883</v>
      </c>
      <c r="K79" s="55">
        <f t="shared" si="5"/>
        <v>0.93760612488577133</v>
      </c>
      <c r="L79" s="80">
        <f t="shared" si="7"/>
        <v>25.1</v>
      </c>
      <c r="M79" s="45"/>
    </row>
    <row r="80" spans="1:13" ht="15.75" x14ac:dyDescent="0.25">
      <c r="A80" s="137" t="s">
        <v>18</v>
      </c>
      <c r="B80" s="236">
        <v>63</v>
      </c>
      <c r="C80" s="137" t="s">
        <v>24</v>
      </c>
      <c r="D80" s="137" t="s">
        <v>9</v>
      </c>
      <c r="E80" s="237">
        <v>1028903.144218713</v>
      </c>
      <c r="F80" s="237">
        <v>98809.884460118803</v>
      </c>
      <c r="G80" s="237">
        <f t="shared" si="8"/>
        <v>930093.25975859421</v>
      </c>
      <c r="H80" s="138">
        <v>112962.85445668412</v>
      </c>
      <c r="I80" s="234">
        <v>5700.24</v>
      </c>
      <c r="J80" s="34">
        <f t="shared" si="6"/>
        <v>8.2336203722192653</v>
      </c>
      <c r="K80" s="55">
        <f t="shared" si="5"/>
        <v>1.1263502561175467</v>
      </c>
      <c r="L80" s="80">
        <f t="shared" si="7"/>
        <v>19.8</v>
      </c>
      <c r="M80" s="45"/>
    </row>
    <row r="81" spans="1:13" ht="15.75" x14ac:dyDescent="0.25">
      <c r="A81" s="137" t="s">
        <v>18</v>
      </c>
      <c r="B81" s="236">
        <v>64</v>
      </c>
      <c r="C81" s="137" t="s">
        <v>24</v>
      </c>
      <c r="D81" s="137" t="s">
        <v>9</v>
      </c>
      <c r="E81" s="237">
        <v>723134.44173398858</v>
      </c>
      <c r="F81" s="237">
        <v>105570.95389806642</v>
      </c>
      <c r="G81" s="237">
        <f t="shared" si="8"/>
        <v>617563.48783592216</v>
      </c>
      <c r="H81" s="138">
        <v>127489.95450595605</v>
      </c>
      <c r="I81" s="234">
        <v>3953.279999999997</v>
      </c>
      <c r="J81" s="34">
        <f t="shared" si="6"/>
        <v>4.84401685002618</v>
      </c>
      <c r="K81" s="55">
        <f t="shared" si="5"/>
        <v>0.66265620383395074</v>
      </c>
      <c r="L81" s="80">
        <f t="shared" si="7"/>
        <v>32.200000000000003</v>
      </c>
      <c r="M81" s="45"/>
    </row>
    <row r="82" spans="1:13" ht="15.75" x14ac:dyDescent="0.25">
      <c r="A82" s="137" t="s">
        <v>18</v>
      </c>
      <c r="B82" s="236">
        <v>67</v>
      </c>
      <c r="C82" s="137" t="s">
        <v>24</v>
      </c>
      <c r="D82" s="137" t="s">
        <v>9</v>
      </c>
      <c r="E82" s="237">
        <v>436675.50709823787</v>
      </c>
      <c r="F82" s="237">
        <v>18727.467490166357</v>
      </c>
      <c r="G82" s="237">
        <f t="shared" si="8"/>
        <v>417948.0396080715</v>
      </c>
      <c r="H82" s="138">
        <v>22981.965633107382</v>
      </c>
      <c r="I82" s="234">
        <v>2211.1799999999976</v>
      </c>
      <c r="J82" s="34">
        <f t="shared" si="6"/>
        <v>18.185913523688484</v>
      </c>
      <c r="K82" s="55">
        <f t="shared" si="5"/>
        <v>2.4878130675360444</v>
      </c>
      <c r="L82" s="80">
        <f t="shared" si="7"/>
        <v>10.4</v>
      </c>
      <c r="M82" s="45"/>
    </row>
    <row r="83" spans="1:13" ht="15.75" x14ac:dyDescent="0.25">
      <c r="A83" s="137" t="s">
        <v>18</v>
      </c>
      <c r="B83" s="236">
        <v>68</v>
      </c>
      <c r="C83" s="137" t="s">
        <v>24</v>
      </c>
      <c r="D83" s="137" t="s">
        <v>9</v>
      </c>
      <c r="E83" s="237">
        <v>540991.1579661608</v>
      </c>
      <c r="F83" s="237">
        <v>70043.733393679038</v>
      </c>
      <c r="G83" s="237">
        <f t="shared" si="8"/>
        <v>470947.42457248177</v>
      </c>
      <c r="H83" s="138">
        <v>83590.20953735293</v>
      </c>
      <c r="I83" s="234">
        <v>3092.5600000000027</v>
      </c>
      <c r="J83" s="34">
        <f t="shared" si="6"/>
        <v>5.6340022016817084</v>
      </c>
      <c r="K83" s="55">
        <f t="shared" si="5"/>
        <v>0.77072533538737464</v>
      </c>
      <c r="L83" s="80">
        <f t="shared" si="7"/>
        <v>27</v>
      </c>
      <c r="M83" s="45"/>
    </row>
    <row r="84" spans="1:13" ht="15.75" x14ac:dyDescent="0.25">
      <c r="A84" s="137" t="s">
        <v>18</v>
      </c>
      <c r="B84" s="236">
        <v>70</v>
      </c>
      <c r="C84" s="137" t="s">
        <v>24</v>
      </c>
      <c r="D84" s="137" t="s">
        <v>9</v>
      </c>
      <c r="E84" s="237">
        <v>85580.693085954466</v>
      </c>
      <c r="F84" s="237">
        <v>4558.730968820103</v>
      </c>
      <c r="G84" s="237">
        <f t="shared" si="8"/>
        <v>81021.962117134361</v>
      </c>
      <c r="H84" s="138">
        <v>5427.0465874895208</v>
      </c>
      <c r="I84" s="234">
        <v>428.03999999999979</v>
      </c>
      <c r="J84" s="34">
        <f t="shared" si="6"/>
        <v>14.929291800056951</v>
      </c>
      <c r="K84" s="55">
        <f t="shared" si="5"/>
        <v>2.0423107797615532</v>
      </c>
      <c r="L84" s="80">
        <f t="shared" si="7"/>
        <v>12.7</v>
      </c>
      <c r="M84" s="45"/>
    </row>
    <row r="85" spans="1:13" ht="15.75" x14ac:dyDescent="0.25">
      <c r="A85" s="137" t="s">
        <v>18</v>
      </c>
      <c r="B85" s="236">
        <v>71</v>
      </c>
      <c r="C85" s="137" t="s">
        <v>24</v>
      </c>
      <c r="D85" s="137" t="s">
        <v>9</v>
      </c>
      <c r="E85" s="237">
        <v>147134.87542862067</v>
      </c>
      <c r="F85" s="237">
        <v>12056.391363044118</v>
      </c>
      <c r="G85" s="237">
        <f t="shared" si="8"/>
        <v>135078.48406557654</v>
      </c>
      <c r="H85" s="138">
        <v>14009.497555549211</v>
      </c>
      <c r="I85" s="234">
        <v>782.7499999999992</v>
      </c>
      <c r="J85" s="34">
        <f t="shared" si="6"/>
        <v>9.6419220982034073</v>
      </c>
      <c r="K85" s="55">
        <f t="shared" si="5"/>
        <v>1.3190043909990983</v>
      </c>
      <c r="L85" s="80">
        <f t="shared" si="7"/>
        <v>17.899999999999999</v>
      </c>
      <c r="M85" s="45"/>
    </row>
    <row r="86" spans="1:13" ht="16.5" thickBot="1" x14ac:dyDescent="0.3">
      <c r="A86" s="36" t="s">
        <v>18</v>
      </c>
      <c r="B86" s="136">
        <v>74</v>
      </c>
      <c r="C86" s="36" t="s">
        <v>24</v>
      </c>
      <c r="D86" s="36" t="s">
        <v>9</v>
      </c>
      <c r="E86" s="238">
        <v>768042.50957645499</v>
      </c>
      <c r="F86" s="238">
        <v>82492.382027075917</v>
      </c>
      <c r="G86" s="238">
        <f t="shared" si="8"/>
        <v>685550.12754937913</v>
      </c>
      <c r="H86" s="38">
        <v>96379.866346172857</v>
      </c>
      <c r="I86" s="240">
        <v>4052.3200000000006</v>
      </c>
      <c r="J86" s="39">
        <f t="shared" si="6"/>
        <v>7.1130014342108661</v>
      </c>
      <c r="K86" s="56">
        <f t="shared" si="5"/>
        <v>0.97305081179355213</v>
      </c>
      <c r="L86" s="81">
        <f t="shared" si="7"/>
        <v>23.8</v>
      </c>
      <c r="M86" s="46"/>
    </row>
    <row r="87" spans="1:13" ht="15.75" thickBot="1" x14ac:dyDescent="0.3">
      <c r="F87"/>
      <c r="G87" s="15"/>
      <c r="H87" s="15"/>
      <c r="I87" s="52"/>
      <c r="J87" s="52"/>
    </row>
    <row r="88" spans="1:13" ht="24.75" thickBot="1" x14ac:dyDescent="0.3">
      <c r="A88" s="17" t="s">
        <v>42</v>
      </c>
      <c r="F88"/>
      <c r="G88" s="105">
        <v>1.6</v>
      </c>
      <c r="H88" s="40">
        <v>1.35</v>
      </c>
      <c r="I88" s="40">
        <v>1.2</v>
      </c>
      <c r="J88" s="106" t="s">
        <v>32</v>
      </c>
    </row>
    <row r="89" spans="1:13" ht="15.75" x14ac:dyDescent="0.25">
      <c r="A89" t="s">
        <v>7</v>
      </c>
      <c r="F89"/>
      <c r="G89" s="157">
        <f>+$J$89*G88</f>
        <v>8.2240000000000002</v>
      </c>
      <c r="H89" s="155">
        <f>+$J$89*H88</f>
        <v>6.9390000000000001</v>
      </c>
      <c r="I89" s="153">
        <f>+$J$89*I88</f>
        <v>6.1679999999999993</v>
      </c>
      <c r="J89" s="107">
        <f>+ROUND(AVERAGEIF($D$4:$D$86,"Weekday",$J$4:$J$86),2)</f>
        <v>5.14</v>
      </c>
    </row>
    <row r="90" spans="1:13" ht="15.75" x14ac:dyDescent="0.25">
      <c r="A90" t="s">
        <v>8</v>
      </c>
      <c r="G90" s="161">
        <f>+$J$90*G88</f>
        <v>11.584000000000001</v>
      </c>
      <c r="H90" s="159">
        <f>+$J$90*H88</f>
        <v>9.7740000000000009</v>
      </c>
      <c r="I90" s="160">
        <f>+$J$90*I88</f>
        <v>8.6880000000000006</v>
      </c>
      <c r="J90" s="108">
        <f>+ROUND(AVERAGEIF($D$4:$D$86,"saturday",$J$4:$J$86),2)</f>
        <v>7.24</v>
      </c>
    </row>
    <row r="91" spans="1:13" ht="16.5" thickBot="1" x14ac:dyDescent="0.3">
      <c r="A91" t="s">
        <v>9</v>
      </c>
      <c r="G91" s="158">
        <f>+$J$91*G88</f>
        <v>11.696</v>
      </c>
      <c r="H91" s="156">
        <f>+$J$91*H88</f>
        <v>9.8685000000000009</v>
      </c>
      <c r="I91" s="154">
        <f>+$J$91*I88</f>
        <v>8.7719999999999985</v>
      </c>
      <c r="J91" s="109">
        <f>+ROUND(AVERAGEIF($D$4:$D$86,"Sunday",$J$4:$J$86),2)</f>
        <v>7.31</v>
      </c>
    </row>
    <row r="94" spans="1:13" x14ac:dyDescent="0.25">
      <c r="B94" s="268"/>
      <c r="C94" s="269"/>
      <c r="D94" s="43"/>
    </row>
    <row r="95" spans="1:13" x14ac:dyDescent="0.25">
      <c r="B95" s="268"/>
      <c r="C95" s="269"/>
      <c r="D95" s="43"/>
      <c r="F95" s="10">
        <f>COUNTIF(D4:D86,"Sunday")</f>
        <v>24</v>
      </c>
    </row>
    <row r="96" spans="1:13" x14ac:dyDescent="0.25">
      <c r="B96" s="268"/>
      <c r="C96" s="269"/>
      <c r="D96" s="43"/>
    </row>
    <row r="97" spans="2:4" x14ac:dyDescent="0.25">
      <c r="B97" s="268"/>
      <c r="C97" s="269"/>
      <c r="D97" s="43"/>
    </row>
  </sheetData>
  <mergeCells count="1">
    <mergeCell ref="A2:N2"/>
  </mergeCells>
  <conditionalFormatting sqref="L4:L86">
    <cfRule type="cellIs" dxfId="38" priority="9" operator="lessThan">
      <formula>20</formula>
    </cfRule>
  </conditionalFormatting>
  <conditionalFormatting sqref="K4:K86">
    <cfRule type="cellIs" dxfId="37" priority="3" stopIfTrue="1" operator="greaterThan">
      <formula>1.6</formula>
    </cfRule>
    <cfRule type="cellIs" dxfId="36" priority="4" stopIfTrue="1" operator="greaterThan">
      <formula>1.35</formula>
    </cfRule>
    <cfRule type="cellIs" dxfId="35" priority="5" stopIfTrue="1" operator="greaterThan">
      <formula>1.2</formula>
    </cfRule>
  </conditionalFormatting>
  <conditionalFormatting sqref="K4:K86">
    <cfRule type="cellIs" dxfId="34" priority="6" stopIfTrue="1" operator="greaterThan">
      <formula>1.6</formula>
    </cfRule>
    <cfRule type="cellIs" dxfId="33" priority="7" stopIfTrue="1" operator="greaterThan">
      <formula>1.35</formula>
    </cfRule>
    <cfRule type="cellIs" dxfId="32" priority="8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55"/>
  <sheetViews>
    <sheetView workbookViewId="0">
      <selection activeCell="K10" sqref="K10"/>
    </sheetView>
  </sheetViews>
  <sheetFormatPr defaultColWidth="12.140625" defaultRowHeight="15" x14ac:dyDescent="0.25"/>
  <cols>
    <col min="1" max="1" width="29.7109375" bestFit="1" customWidth="1"/>
    <col min="2" max="2" width="12.5703125" style="12" bestFit="1" customWidth="1"/>
    <col min="3" max="3" width="26.140625" customWidth="1"/>
    <col min="5" max="5" width="14" bestFit="1" customWidth="1"/>
    <col min="6" max="6" width="12.28515625" style="10" bestFit="1" customWidth="1"/>
    <col min="7" max="7" width="14.140625" bestFit="1" customWidth="1"/>
    <col min="8" max="8" width="12.7109375" bestFit="1" customWidth="1"/>
    <col min="9" max="9" width="12.28515625" bestFit="1" customWidth="1"/>
    <col min="10" max="10" width="12.28515625" style="13" bestFit="1" customWidth="1"/>
    <col min="11" max="11" width="10.42578125" customWidth="1"/>
    <col min="12" max="12" width="11.7109375" customWidth="1"/>
    <col min="13" max="13" width="13.7109375" customWidth="1"/>
  </cols>
  <sheetData>
    <row r="1" spans="1:14" ht="18.75" x14ac:dyDescent="0.3">
      <c r="A1" s="16" t="s">
        <v>37</v>
      </c>
      <c r="B1"/>
      <c r="F1"/>
      <c r="J1" s="4"/>
      <c r="K1" s="4"/>
      <c r="L1" s="4"/>
      <c r="M1" s="4"/>
    </row>
    <row r="2" spans="1:14" ht="47.25" thickBot="1" x14ac:dyDescent="0.75">
      <c r="A2" s="273" t="s">
        <v>99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72.75" thickBot="1" x14ac:dyDescent="0.3">
      <c r="A3" s="321" t="s">
        <v>10</v>
      </c>
      <c r="B3" s="322" t="s">
        <v>26</v>
      </c>
      <c r="C3" s="323" t="s">
        <v>27</v>
      </c>
      <c r="D3" s="323" t="s">
        <v>1</v>
      </c>
      <c r="E3" s="324" t="s">
        <v>2</v>
      </c>
      <c r="F3" s="324" t="s">
        <v>28</v>
      </c>
      <c r="G3" s="324" t="s">
        <v>29</v>
      </c>
      <c r="H3" s="325" t="s">
        <v>30</v>
      </c>
      <c r="I3" s="325" t="s">
        <v>31</v>
      </c>
      <c r="J3" s="326" t="s">
        <v>32</v>
      </c>
      <c r="K3" s="326" t="s">
        <v>33</v>
      </c>
      <c r="L3" s="329" t="s">
        <v>44</v>
      </c>
      <c r="M3" s="23" t="s">
        <v>34</v>
      </c>
    </row>
    <row r="4" spans="1:14" ht="15.75" x14ac:dyDescent="0.25">
      <c r="A4" s="137" t="s">
        <v>21</v>
      </c>
      <c r="B4" s="236">
        <v>16</v>
      </c>
      <c r="C4" s="137" t="s">
        <v>19</v>
      </c>
      <c r="D4" s="137" t="s">
        <v>8</v>
      </c>
      <c r="E4" s="237">
        <v>17374.968545454547</v>
      </c>
      <c r="F4" s="237">
        <v>1061.6920000000027</v>
      </c>
      <c r="G4" s="27">
        <f>+E4-F4</f>
        <v>16313.276545454544</v>
      </c>
      <c r="H4" s="138">
        <v>1830</v>
      </c>
      <c r="I4" s="234">
        <v>155.1</v>
      </c>
      <c r="J4" s="34">
        <f t="shared" ref="J4:J42" si="0">+G4/H4</f>
        <v>8.914358768007947</v>
      </c>
      <c r="K4" s="57">
        <f>+IF(D4="Weekday",J4/$J$46,IF(D4="Saturday",J4/$J$47,IF(D4="Sunday",J4/$J$48,"NA")))</f>
        <v>0.97852456289878675</v>
      </c>
      <c r="L4" s="79">
        <f>ROUND(H4/I4,1)</f>
        <v>11.8</v>
      </c>
      <c r="M4" s="50"/>
    </row>
    <row r="5" spans="1:14" ht="15.75" x14ac:dyDescent="0.25">
      <c r="A5" s="137" t="s">
        <v>21</v>
      </c>
      <c r="B5" s="236">
        <v>30</v>
      </c>
      <c r="C5" s="137" t="s">
        <v>19</v>
      </c>
      <c r="D5" s="137" t="s">
        <v>8</v>
      </c>
      <c r="E5" s="237">
        <v>123274.51127390889</v>
      </c>
      <c r="F5" s="237">
        <v>16127.966000000039</v>
      </c>
      <c r="G5" s="32">
        <f t="shared" ref="G5:G22" si="1">+E5-F5</f>
        <v>107146.54527390885</v>
      </c>
      <c r="H5" s="138">
        <v>18477</v>
      </c>
      <c r="I5" s="234">
        <v>1647</v>
      </c>
      <c r="J5" s="34">
        <f t="shared" si="0"/>
        <v>5.7989146113497236</v>
      </c>
      <c r="K5" s="55">
        <f>+IF(D5="Weekday",J5/$J$46,IF(D5="Saturday",J5/$J$47,IF(D5="Sunday",J5/$J$48,"NA")))</f>
        <v>0.63654386513169303</v>
      </c>
      <c r="L5" s="79">
        <f t="shared" ref="L5:L43" si="2">ROUND(H5/I5,1)</f>
        <v>11.2</v>
      </c>
      <c r="M5" s="50"/>
    </row>
    <row r="6" spans="1:14" ht="15.75" x14ac:dyDescent="0.25">
      <c r="A6" s="137" t="s">
        <v>21</v>
      </c>
      <c r="B6" s="236">
        <v>80</v>
      </c>
      <c r="C6" s="137" t="s">
        <v>19</v>
      </c>
      <c r="D6" s="137" t="s">
        <v>8</v>
      </c>
      <c r="E6" s="237">
        <v>63413.431966057688</v>
      </c>
      <c r="F6" s="237">
        <v>13620.547000000013</v>
      </c>
      <c r="G6" s="32">
        <f t="shared" si="1"/>
        <v>49792.884966057674</v>
      </c>
      <c r="H6" s="138">
        <v>16439</v>
      </c>
      <c r="I6" s="234">
        <v>732.78000000000009</v>
      </c>
      <c r="J6" s="34">
        <f t="shared" si="0"/>
        <v>3.0289485349508896</v>
      </c>
      <c r="K6" s="55">
        <f>+IF(D6="Weekday",J6/$J$46,IF(D6="Saturday",J6/$J$47,IF(D6="Sunday",J6/$J$48,"NA")))</f>
        <v>0.33248611799680461</v>
      </c>
      <c r="L6" s="79">
        <f t="shared" si="2"/>
        <v>22.4</v>
      </c>
      <c r="M6" s="50"/>
    </row>
    <row r="7" spans="1:14" ht="15.75" x14ac:dyDescent="0.25">
      <c r="A7" s="137" t="s">
        <v>21</v>
      </c>
      <c r="B7" s="236">
        <v>83</v>
      </c>
      <c r="C7" s="137" t="s">
        <v>19</v>
      </c>
      <c r="D7" s="137" t="s">
        <v>8</v>
      </c>
      <c r="E7" s="237">
        <v>123046.66568990084</v>
      </c>
      <c r="F7" s="237">
        <v>14980.092000000037</v>
      </c>
      <c r="G7" s="32">
        <f t="shared" si="1"/>
        <v>108066.5736899008</v>
      </c>
      <c r="H7" s="138">
        <v>15359</v>
      </c>
      <c r="I7" s="234">
        <v>1904.5799999999997</v>
      </c>
      <c r="J7" s="34">
        <f>+G7/H7</f>
        <v>7.0360423002735075</v>
      </c>
      <c r="K7" s="55">
        <f>+IF(D7="Weekday",J7/$J$46,IF(D7="Saturday",J7/$J$47,IF(D7="Sunday",J7/$J$48,"NA")))</f>
        <v>0.77234273329017655</v>
      </c>
      <c r="L7" s="79">
        <f t="shared" si="2"/>
        <v>8.1</v>
      </c>
      <c r="M7" s="45"/>
    </row>
    <row r="8" spans="1:14" s="139" customFormat="1" ht="15.75" x14ac:dyDescent="0.25">
      <c r="A8" s="137" t="s">
        <v>21</v>
      </c>
      <c r="B8" s="236">
        <v>84</v>
      </c>
      <c r="C8" s="137" t="s">
        <v>19</v>
      </c>
      <c r="D8" s="137" t="s">
        <v>8</v>
      </c>
      <c r="E8" s="237">
        <v>15961.278190082645</v>
      </c>
      <c r="F8" s="237">
        <v>1449.975000000004</v>
      </c>
      <c r="G8" s="32">
        <f t="shared" si="1"/>
        <v>14511.303190082641</v>
      </c>
      <c r="H8" s="138">
        <v>1805</v>
      </c>
      <c r="I8" s="234">
        <v>143.15</v>
      </c>
      <c r="J8" s="34">
        <f t="shared" ref="J8:J34" si="3">+G8/H8</f>
        <v>8.0395031524003553</v>
      </c>
      <c r="K8" s="55">
        <f t="shared" ref="K8:K34" si="4">+IF(D8="Weekday",J8/$J$46,IF(D8="Saturday",J8/$J$47,IF(D8="Sunday",J8/$J$48,"NA")))</f>
        <v>0.88249211332605437</v>
      </c>
      <c r="L8" s="79">
        <f t="shared" ref="L8:L34" si="5">ROUND(H8/I8,1)</f>
        <v>12.6</v>
      </c>
      <c r="M8" s="50"/>
    </row>
    <row r="9" spans="1:14" s="139" customFormat="1" ht="15.75" x14ac:dyDescent="0.25">
      <c r="A9" s="137" t="s">
        <v>21</v>
      </c>
      <c r="B9" s="236">
        <v>87</v>
      </c>
      <c r="C9" s="137" t="s">
        <v>19</v>
      </c>
      <c r="D9" s="137" t="s">
        <v>8</v>
      </c>
      <c r="E9" s="237">
        <v>182530.55473042087</v>
      </c>
      <c r="F9" s="237">
        <v>21102.920000000049</v>
      </c>
      <c r="G9" s="32">
        <f t="shared" si="1"/>
        <v>161427.63473042083</v>
      </c>
      <c r="H9" s="138">
        <v>22016</v>
      </c>
      <c r="I9" s="234">
        <v>2144.8799999999997</v>
      </c>
      <c r="J9" s="34">
        <f t="shared" si="3"/>
        <v>7.3322871879733302</v>
      </c>
      <c r="K9" s="55">
        <f t="shared" si="4"/>
        <v>0.80486138177533817</v>
      </c>
      <c r="L9" s="79">
        <f t="shared" si="5"/>
        <v>10.3</v>
      </c>
      <c r="M9" s="50"/>
    </row>
    <row r="10" spans="1:14" ht="15.75" x14ac:dyDescent="0.25">
      <c r="A10" s="137" t="s">
        <v>21</v>
      </c>
      <c r="B10" s="236">
        <v>16</v>
      </c>
      <c r="C10" s="137" t="s">
        <v>19</v>
      </c>
      <c r="D10" s="137" t="s">
        <v>9</v>
      </c>
      <c r="E10" s="237">
        <v>19636.319249586777</v>
      </c>
      <c r="F10" s="237">
        <v>720.78700000000129</v>
      </c>
      <c r="G10" s="32">
        <f t="shared" si="1"/>
        <v>18915.532249586777</v>
      </c>
      <c r="H10" s="138">
        <v>1163</v>
      </c>
      <c r="I10" s="234">
        <v>171.17999999999998</v>
      </c>
      <c r="J10" s="34">
        <f t="shared" si="3"/>
        <v>16.264430137219929</v>
      </c>
      <c r="K10" s="55">
        <f t="shared" si="4"/>
        <v>1.3713684769999941</v>
      </c>
      <c r="L10" s="79">
        <f t="shared" si="5"/>
        <v>6.8</v>
      </c>
      <c r="M10" s="50"/>
    </row>
    <row r="11" spans="1:14" s="139" customFormat="1" ht="15.75" x14ac:dyDescent="0.25">
      <c r="A11" s="137" t="s">
        <v>21</v>
      </c>
      <c r="B11" s="236">
        <v>30</v>
      </c>
      <c r="C11" s="137" t="s">
        <v>19</v>
      </c>
      <c r="D11" s="137" t="s">
        <v>9</v>
      </c>
      <c r="E11" s="237">
        <v>132405.58618308735</v>
      </c>
      <c r="F11" s="237">
        <v>14739.707000000035</v>
      </c>
      <c r="G11" s="32">
        <f t="shared" si="1"/>
        <v>117665.87918308731</v>
      </c>
      <c r="H11" s="138">
        <v>16224</v>
      </c>
      <c r="I11" s="234">
        <v>1769</v>
      </c>
      <c r="J11" s="34">
        <f t="shared" si="3"/>
        <v>7.252581310594632</v>
      </c>
      <c r="K11" s="55">
        <f t="shared" si="4"/>
        <v>0.61151613074153732</v>
      </c>
      <c r="L11" s="79">
        <f t="shared" si="5"/>
        <v>9.1999999999999993</v>
      </c>
      <c r="M11" s="50"/>
    </row>
    <row r="12" spans="1:14" s="139" customFormat="1" ht="15.75" x14ac:dyDescent="0.25">
      <c r="A12" s="137" t="s">
        <v>21</v>
      </c>
      <c r="B12" s="236">
        <v>80</v>
      </c>
      <c r="C12" s="137" t="s">
        <v>19</v>
      </c>
      <c r="D12" s="137" t="s">
        <v>9</v>
      </c>
      <c r="E12" s="237">
        <v>36816.230827874351</v>
      </c>
      <c r="F12" s="237">
        <v>9295.1319999999996</v>
      </c>
      <c r="G12" s="32">
        <f t="shared" si="1"/>
        <v>27521.098827874353</v>
      </c>
      <c r="H12" s="138">
        <v>10070</v>
      </c>
      <c r="I12" s="234">
        <v>425.14000000000004</v>
      </c>
      <c r="J12" s="34">
        <f t="shared" si="3"/>
        <v>2.7329790295803726</v>
      </c>
      <c r="K12" s="55">
        <f t="shared" si="4"/>
        <v>0.23043668040306683</v>
      </c>
      <c r="L12" s="79">
        <f t="shared" si="5"/>
        <v>23.7</v>
      </c>
      <c r="M12" s="50"/>
    </row>
    <row r="13" spans="1:14" ht="15.75" x14ac:dyDescent="0.25">
      <c r="A13" s="137" t="s">
        <v>21</v>
      </c>
      <c r="B13" s="236">
        <v>83</v>
      </c>
      <c r="C13" s="137" t="s">
        <v>19</v>
      </c>
      <c r="D13" s="137" t="s">
        <v>9</v>
      </c>
      <c r="E13" s="237">
        <v>132161.34462989349</v>
      </c>
      <c r="F13" s="237">
        <v>13853.04800000003</v>
      </c>
      <c r="G13" s="32">
        <f t="shared" si="1"/>
        <v>118308.29662989346</v>
      </c>
      <c r="H13" s="138">
        <v>14140</v>
      </c>
      <c r="I13" s="234">
        <v>2045.6599999999999</v>
      </c>
      <c r="J13" s="34">
        <f t="shared" si="3"/>
        <v>8.3669233825950116</v>
      </c>
      <c r="K13" s="55">
        <f t="shared" si="4"/>
        <v>0.70547414693043942</v>
      </c>
      <c r="L13" s="79">
        <f t="shared" si="5"/>
        <v>6.9</v>
      </c>
      <c r="M13" s="50"/>
    </row>
    <row r="14" spans="1:14" ht="15.75" x14ac:dyDescent="0.25">
      <c r="A14" s="137" t="s">
        <v>21</v>
      </c>
      <c r="B14" s="236">
        <v>84</v>
      </c>
      <c r="C14" s="137" t="s">
        <v>19</v>
      </c>
      <c r="D14" s="137" t="s">
        <v>9</v>
      </c>
      <c r="E14" s="237">
        <v>14182.833150413224</v>
      </c>
      <c r="F14" s="237">
        <v>907.88100000000168</v>
      </c>
      <c r="G14" s="32">
        <f t="shared" si="1"/>
        <v>13274.952150413223</v>
      </c>
      <c r="H14" s="138">
        <v>1110</v>
      </c>
      <c r="I14" s="234">
        <v>126.47999999999999</v>
      </c>
      <c r="J14" s="34">
        <f t="shared" si="3"/>
        <v>11.959416351723624</v>
      </c>
      <c r="K14" s="55">
        <f t="shared" si="4"/>
        <v>1.0083824917136277</v>
      </c>
      <c r="L14" s="79">
        <f t="shared" si="5"/>
        <v>8.8000000000000007</v>
      </c>
      <c r="M14" s="45"/>
    </row>
    <row r="15" spans="1:14" ht="15.75" x14ac:dyDescent="0.25">
      <c r="A15" s="137" t="s">
        <v>21</v>
      </c>
      <c r="B15" s="236">
        <v>87</v>
      </c>
      <c r="C15" s="137" t="s">
        <v>19</v>
      </c>
      <c r="D15" s="137" t="s">
        <v>9</v>
      </c>
      <c r="E15" s="237">
        <v>196672.96610930478</v>
      </c>
      <c r="F15" s="237">
        <v>16740.027000000056</v>
      </c>
      <c r="G15" s="32">
        <f t="shared" si="1"/>
        <v>179932.93910930472</v>
      </c>
      <c r="H15" s="138">
        <v>16903</v>
      </c>
      <c r="I15" s="234">
        <v>2324.6400000000003</v>
      </c>
      <c r="J15" s="34">
        <f t="shared" si="3"/>
        <v>10.645029823658801</v>
      </c>
      <c r="K15" s="55">
        <f t="shared" si="4"/>
        <v>0.89755732071322103</v>
      </c>
      <c r="L15" s="79">
        <f t="shared" si="5"/>
        <v>7.3</v>
      </c>
      <c r="M15" s="45"/>
    </row>
    <row r="16" spans="1:14" ht="15.75" x14ac:dyDescent="0.25">
      <c r="A16" s="137" t="s">
        <v>21</v>
      </c>
      <c r="B16" s="236">
        <v>16</v>
      </c>
      <c r="C16" s="137" t="s">
        <v>19</v>
      </c>
      <c r="D16" s="137" t="s">
        <v>7</v>
      </c>
      <c r="E16" s="237">
        <v>68162.511626446285</v>
      </c>
      <c r="F16" s="237">
        <v>5546.8319999999758</v>
      </c>
      <c r="G16" s="32">
        <f t="shared" si="1"/>
        <v>62615.679626446312</v>
      </c>
      <c r="H16" s="138">
        <v>8246</v>
      </c>
      <c r="I16" s="234">
        <v>653.22</v>
      </c>
      <c r="J16" s="34">
        <f t="shared" si="3"/>
        <v>7.5934610267337268</v>
      </c>
      <c r="K16" s="55">
        <f t="shared" si="4"/>
        <v>1.013813221192754</v>
      </c>
      <c r="L16" s="79">
        <f t="shared" si="5"/>
        <v>12.6</v>
      </c>
      <c r="M16" s="50"/>
    </row>
    <row r="17" spans="1:13" s="139" customFormat="1" ht="15.75" x14ac:dyDescent="0.25">
      <c r="A17" s="137" t="s">
        <v>21</v>
      </c>
      <c r="B17" s="236">
        <v>27</v>
      </c>
      <c r="C17" s="137" t="s">
        <v>19</v>
      </c>
      <c r="D17" s="137" t="s">
        <v>7</v>
      </c>
      <c r="E17" s="237">
        <v>198839.54029937569</v>
      </c>
      <c r="F17" s="237">
        <v>16034.195000000062</v>
      </c>
      <c r="G17" s="32">
        <f t="shared" si="1"/>
        <v>182805.34529937562</v>
      </c>
      <c r="H17" s="138">
        <v>20552</v>
      </c>
      <c r="I17" s="234">
        <v>2788.06</v>
      </c>
      <c r="J17" s="34">
        <f t="shared" si="3"/>
        <v>8.8947715696465366</v>
      </c>
      <c r="K17" s="55">
        <f t="shared" si="4"/>
        <v>1.1875529465482693</v>
      </c>
      <c r="L17" s="79">
        <f t="shared" si="5"/>
        <v>7.4</v>
      </c>
      <c r="M17" s="50"/>
    </row>
    <row r="18" spans="1:13" s="139" customFormat="1" ht="15.75" x14ac:dyDescent="0.25">
      <c r="A18" s="137" t="s">
        <v>21</v>
      </c>
      <c r="B18" s="236">
        <v>30</v>
      </c>
      <c r="C18" s="137" t="s">
        <v>19</v>
      </c>
      <c r="D18" s="137" t="s">
        <v>7</v>
      </c>
      <c r="E18" s="237">
        <v>740903.76198727987</v>
      </c>
      <c r="F18" s="237">
        <v>157690.41700000194</v>
      </c>
      <c r="G18" s="32">
        <f t="shared" si="1"/>
        <v>583213.34498727787</v>
      </c>
      <c r="H18" s="138">
        <v>154565</v>
      </c>
      <c r="I18" s="234">
        <v>9689.9</v>
      </c>
      <c r="J18" s="34">
        <f t="shared" si="3"/>
        <v>3.7732562028096779</v>
      </c>
      <c r="K18" s="55">
        <f t="shared" si="4"/>
        <v>0.5037725237396099</v>
      </c>
      <c r="L18" s="79">
        <f t="shared" si="5"/>
        <v>16</v>
      </c>
      <c r="M18" s="50"/>
    </row>
    <row r="19" spans="1:13" s="139" customFormat="1" ht="15.75" x14ac:dyDescent="0.25">
      <c r="A19" s="137" t="s">
        <v>21</v>
      </c>
      <c r="B19" s="236">
        <v>80</v>
      </c>
      <c r="C19" s="137" t="s">
        <v>19</v>
      </c>
      <c r="D19" s="137" t="s">
        <v>7</v>
      </c>
      <c r="E19" s="237">
        <v>302711.37223541766</v>
      </c>
      <c r="F19" s="237">
        <v>96714.173999999417</v>
      </c>
      <c r="G19" s="32">
        <f t="shared" si="1"/>
        <v>205997.19823541824</v>
      </c>
      <c r="H19" s="138">
        <v>98052</v>
      </c>
      <c r="I19" s="234">
        <v>3526.0610000000001</v>
      </c>
      <c r="J19" s="34">
        <f t="shared" si="3"/>
        <v>2.1008974649718337</v>
      </c>
      <c r="K19" s="55">
        <f t="shared" si="4"/>
        <v>0.28049365353429023</v>
      </c>
      <c r="L19" s="79">
        <f t="shared" si="5"/>
        <v>27.8</v>
      </c>
      <c r="M19" s="50"/>
    </row>
    <row r="20" spans="1:13" s="139" customFormat="1" ht="15.75" x14ac:dyDescent="0.25">
      <c r="A20" s="137" t="s">
        <v>21</v>
      </c>
      <c r="B20" s="236">
        <v>83</v>
      </c>
      <c r="C20" s="137" t="s">
        <v>19</v>
      </c>
      <c r="D20" s="137" t="s">
        <v>7</v>
      </c>
      <c r="E20" s="237">
        <v>600486.51163716486</v>
      </c>
      <c r="F20" s="237">
        <v>114548.83800000108</v>
      </c>
      <c r="G20" s="32">
        <f t="shared" si="1"/>
        <v>485937.67363716377</v>
      </c>
      <c r="H20" s="138">
        <v>106379</v>
      </c>
      <c r="I20" s="234">
        <v>9500.15</v>
      </c>
      <c r="J20" s="34">
        <f t="shared" si="3"/>
        <v>4.5679849748273975</v>
      </c>
      <c r="K20" s="55">
        <f t="shared" si="4"/>
        <v>0.60987783375532678</v>
      </c>
      <c r="L20" s="79">
        <f t="shared" si="5"/>
        <v>11.2</v>
      </c>
      <c r="M20" s="50"/>
    </row>
    <row r="21" spans="1:13" s="139" customFormat="1" ht="15.75" x14ac:dyDescent="0.25">
      <c r="A21" s="137" t="s">
        <v>21</v>
      </c>
      <c r="B21" s="236">
        <v>84</v>
      </c>
      <c r="C21" s="137" t="s">
        <v>19</v>
      </c>
      <c r="D21" s="137" t="s">
        <v>7</v>
      </c>
      <c r="E21" s="237">
        <v>72173.734867768595</v>
      </c>
      <c r="F21" s="237">
        <v>8747.3270000000048</v>
      </c>
      <c r="G21" s="32">
        <f t="shared" si="1"/>
        <v>63426.40786776859</v>
      </c>
      <c r="H21" s="138">
        <v>10032</v>
      </c>
      <c r="I21" s="234">
        <v>680.51666666666665</v>
      </c>
      <c r="J21" s="34">
        <f t="shared" si="3"/>
        <v>6.3224090777281292</v>
      </c>
      <c r="K21" s="55">
        <f t="shared" si="4"/>
        <v>0.84411336151243377</v>
      </c>
      <c r="L21" s="79">
        <f t="shared" si="5"/>
        <v>14.7</v>
      </c>
      <c r="M21" s="50"/>
    </row>
    <row r="22" spans="1:13" ht="15.75" x14ac:dyDescent="0.25">
      <c r="A22" s="137" t="s">
        <v>21</v>
      </c>
      <c r="B22" s="236">
        <v>87</v>
      </c>
      <c r="C22" s="137" t="s">
        <v>19</v>
      </c>
      <c r="D22" s="137" t="s">
        <v>7</v>
      </c>
      <c r="E22" s="237">
        <v>1091659.8018111223</v>
      </c>
      <c r="F22" s="237">
        <v>259128.70100000841</v>
      </c>
      <c r="G22" s="32">
        <f t="shared" si="1"/>
        <v>832531.10081111395</v>
      </c>
      <c r="H22" s="138">
        <v>227554</v>
      </c>
      <c r="I22" s="234">
        <v>12940.95</v>
      </c>
      <c r="J22" s="34">
        <f t="shared" si="3"/>
        <v>3.6586089491334537</v>
      </c>
      <c r="K22" s="55">
        <f t="shared" si="4"/>
        <v>0.48846581430353186</v>
      </c>
      <c r="L22" s="79">
        <f t="shared" si="5"/>
        <v>17.600000000000001</v>
      </c>
      <c r="M22" s="50"/>
    </row>
    <row r="23" spans="1:13" ht="15.75" x14ac:dyDescent="0.25">
      <c r="A23" s="137" t="s">
        <v>18</v>
      </c>
      <c r="B23" s="236">
        <v>16</v>
      </c>
      <c r="C23" s="137" t="s">
        <v>19</v>
      </c>
      <c r="D23" s="137" t="s">
        <v>7</v>
      </c>
      <c r="E23" s="237">
        <v>1976459.6628067482</v>
      </c>
      <c r="F23" s="237">
        <v>116078.49247705277</v>
      </c>
      <c r="G23" s="32">
        <v>1860381.1703296953</v>
      </c>
      <c r="H23" s="138">
        <v>170545.35392367683</v>
      </c>
      <c r="I23" s="234">
        <v>10610.810000000014</v>
      </c>
      <c r="J23" s="34">
        <f t="shared" si="3"/>
        <v>10.908424812101659</v>
      </c>
      <c r="K23" s="55">
        <f t="shared" si="4"/>
        <v>1.456398506288606</v>
      </c>
      <c r="L23" s="79">
        <f t="shared" si="5"/>
        <v>16.100000000000001</v>
      </c>
      <c r="M23" s="50"/>
    </row>
    <row r="24" spans="1:13" ht="15.75" x14ac:dyDescent="0.25">
      <c r="A24" s="137" t="s">
        <v>18</v>
      </c>
      <c r="B24" s="236">
        <v>20</v>
      </c>
      <c r="C24" s="137" t="s">
        <v>19</v>
      </c>
      <c r="D24" s="137" t="s">
        <v>7</v>
      </c>
      <c r="E24" s="237">
        <v>185205.72878988061</v>
      </c>
      <c r="F24" s="237">
        <v>8328.7716448712199</v>
      </c>
      <c r="G24" s="32">
        <v>176876.95714500939</v>
      </c>
      <c r="H24" s="138">
        <v>13152.704650108397</v>
      </c>
      <c r="I24" s="234">
        <v>469.2</v>
      </c>
      <c r="J24" s="34">
        <f t="shared" si="3"/>
        <v>13.447953242343329</v>
      </c>
      <c r="K24" s="55">
        <f t="shared" si="4"/>
        <v>1.7954543714744098</v>
      </c>
      <c r="L24" s="79">
        <f t="shared" si="5"/>
        <v>28</v>
      </c>
      <c r="M24" s="45"/>
    </row>
    <row r="25" spans="1:13" ht="15.75" x14ac:dyDescent="0.25">
      <c r="A25" s="137" t="s">
        <v>18</v>
      </c>
      <c r="B25" s="236">
        <v>23</v>
      </c>
      <c r="C25" s="137" t="s">
        <v>19</v>
      </c>
      <c r="D25" s="137" t="s">
        <v>7</v>
      </c>
      <c r="E25" s="237">
        <v>2833949.7695562788</v>
      </c>
      <c r="F25" s="237">
        <v>374580.90209812421</v>
      </c>
      <c r="G25" s="32">
        <v>2459368.8674581544</v>
      </c>
      <c r="H25" s="138">
        <v>371878.20206816337</v>
      </c>
      <c r="I25" s="234">
        <v>14844.519999999988</v>
      </c>
      <c r="J25" s="34">
        <f t="shared" si="3"/>
        <v>6.6133719421590751</v>
      </c>
      <c r="K25" s="55">
        <f t="shared" si="4"/>
        <v>0.88296020589573765</v>
      </c>
      <c r="L25" s="79">
        <f t="shared" si="5"/>
        <v>25.1</v>
      </c>
      <c r="M25" s="50"/>
    </row>
    <row r="26" spans="1:13" ht="15.75" x14ac:dyDescent="0.25">
      <c r="A26" s="137" t="s">
        <v>18</v>
      </c>
      <c r="B26" s="236">
        <v>32</v>
      </c>
      <c r="C26" s="137" t="s">
        <v>19</v>
      </c>
      <c r="D26" s="137" t="s">
        <v>7</v>
      </c>
      <c r="E26" s="237">
        <v>2105422.0142270997</v>
      </c>
      <c r="F26" s="237">
        <v>407566.91404829116</v>
      </c>
      <c r="G26" s="32">
        <v>1697855.1001788084</v>
      </c>
      <c r="H26" s="138">
        <v>397355.86229024245</v>
      </c>
      <c r="I26" s="234">
        <v>10562.209999999974</v>
      </c>
      <c r="J26" s="34">
        <f t="shared" si="3"/>
        <v>4.2728829779756374</v>
      </c>
      <c r="K26" s="55">
        <f t="shared" si="4"/>
        <v>0.57047836822104636</v>
      </c>
      <c r="L26" s="79">
        <f t="shared" si="5"/>
        <v>37.6</v>
      </c>
      <c r="M26" s="50"/>
    </row>
    <row r="27" spans="1:13" ht="15.75" x14ac:dyDescent="0.25">
      <c r="A27" s="137" t="s">
        <v>18</v>
      </c>
      <c r="B27" s="236">
        <v>39</v>
      </c>
      <c r="C27" s="137" t="s">
        <v>19</v>
      </c>
      <c r="D27" s="137" t="s">
        <v>7</v>
      </c>
      <c r="E27" s="237">
        <v>220878.33153665464</v>
      </c>
      <c r="F27" s="237">
        <v>31984.016827110099</v>
      </c>
      <c r="G27" s="32">
        <v>188894.31470954453</v>
      </c>
      <c r="H27" s="138">
        <v>27871.701415489952</v>
      </c>
      <c r="I27" s="234">
        <v>682.08999999999878</v>
      </c>
      <c r="J27" s="34">
        <f t="shared" si="3"/>
        <v>6.7772796462495393</v>
      </c>
      <c r="K27" s="55">
        <f t="shared" si="4"/>
        <v>0.9048437444925953</v>
      </c>
      <c r="L27" s="79">
        <f t="shared" si="5"/>
        <v>40.9</v>
      </c>
      <c r="M27" s="45"/>
    </row>
    <row r="28" spans="1:13" ht="15.75" x14ac:dyDescent="0.25">
      <c r="A28" s="137" t="s">
        <v>18</v>
      </c>
      <c r="B28" s="236">
        <v>46</v>
      </c>
      <c r="C28" s="137" t="s">
        <v>19</v>
      </c>
      <c r="D28" s="137" t="s">
        <v>7</v>
      </c>
      <c r="E28" s="237">
        <v>2878662.5669932058</v>
      </c>
      <c r="F28" s="237">
        <v>302406.47170121007</v>
      </c>
      <c r="G28" s="32">
        <v>2576256.0952919959</v>
      </c>
      <c r="H28" s="138">
        <v>282387.94647009933</v>
      </c>
      <c r="I28" s="234">
        <v>15180.009999999918</v>
      </c>
      <c r="J28" s="34">
        <f t="shared" si="3"/>
        <v>9.1231092810286896</v>
      </c>
      <c r="K28" s="55">
        <f t="shared" si="4"/>
        <v>1.2180386223002255</v>
      </c>
      <c r="L28" s="79">
        <f t="shared" si="5"/>
        <v>18.600000000000001</v>
      </c>
      <c r="M28" s="45"/>
    </row>
    <row r="29" spans="1:13" ht="15.75" x14ac:dyDescent="0.25">
      <c r="A29" s="137" t="s">
        <v>18</v>
      </c>
      <c r="B29" s="236">
        <v>65</v>
      </c>
      <c r="C29" s="137" t="s">
        <v>19</v>
      </c>
      <c r="D29" s="137" t="s">
        <v>7</v>
      </c>
      <c r="E29" s="237">
        <v>2431160.5535372626</v>
      </c>
      <c r="F29" s="237">
        <v>227766.13287723821</v>
      </c>
      <c r="G29" s="32">
        <v>2203394.4206600245</v>
      </c>
      <c r="H29" s="138">
        <v>242456.83304655258</v>
      </c>
      <c r="I29" s="234">
        <v>11839.339999999929</v>
      </c>
      <c r="J29" s="34">
        <f t="shared" si="3"/>
        <v>9.0877802575148081</v>
      </c>
      <c r="K29" s="55">
        <f t="shared" si="4"/>
        <v>1.2133217967309491</v>
      </c>
      <c r="L29" s="79">
        <f t="shared" si="5"/>
        <v>20.5</v>
      </c>
      <c r="M29" s="50"/>
    </row>
    <row r="30" spans="1:13" s="139" customFormat="1" ht="15.75" x14ac:dyDescent="0.25">
      <c r="A30" s="137" t="s">
        <v>18</v>
      </c>
      <c r="B30" s="236">
        <v>84</v>
      </c>
      <c r="C30" s="137" t="s">
        <v>19</v>
      </c>
      <c r="D30" s="137" t="s">
        <v>7</v>
      </c>
      <c r="E30" s="237">
        <v>2144630.1114290538</v>
      </c>
      <c r="F30" s="237">
        <v>157895.51757845131</v>
      </c>
      <c r="G30" s="32">
        <v>1986734.5938506024</v>
      </c>
      <c r="H30" s="138">
        <v>185030.96279108719</v>
      </c>
      <c r="I30" s="234">
        <v>10605.02</v>
      </c>
      <c r="J30" s="34">
        <f t="shared" si="3"/>
        <v>10.737308847567116</v>
      </c>
      <c r="K30" s="55">
        <f t="shared" si="4"/>
        <v>1.4335525831197751</v>
      </c>
      <c r="L30" s="79">
        <f t="shared" si="5"/>
        <v>17.399999999999999</v>
      </c>
      <c r="M30" s="50"/>
    </row>
    <row r="31" spans="1:13" s="139" customFormat="1" ht="15.75" x14ac:dyDescent="0.25">
      <c r="A31" s="137" t="s">
        <v>18</v>
      </c>
      <c r="B31" s="236">
        <v>129</v>
      </c>
      <c r="C31" s="137" t="s">
        <v>19</v>
      </c>
      <c r="D31" s="137" t="s">
        <v>7</v>
      </c>
      <c r="E31" s="237">
        <v>151220.42736419284</v>
      </c>
      <c r="F31" s="237">
        <v>1787.875563970031</v>
      </c>
      <c r="G31" s="32">
        <v>149432.55180022281</v>
      </c>
      <c r="H31" s="138">
        <v>12511.665890347593</v>
      </c>
      <c r="I31" s="234">
        <v>379.5</v>
      </c>
      <c r="J31" s="34">
        <f t="shared" si="3"/>
        <v>11.943457658624494</v>
      </c>
      <c r="K31" s="55">
        <f t="shared" si="4"/>
        <v>1.5945871373330431</v>
      </c>
      <c r="L31" s="79">
        <f t="shared" si="5"/>
        <v>33</v>
      </c>
      <c r="M31" s="45"/>
    </row>
    <row r="32" spans="1:13" ht="15.75" x14ac:dyDescent="0.25">
      <c r="A32" s="137" t="s">
        <v>18</v>
      </c>
      <c r="B32" s="236">
        <v>16</v>
      </c>
      <c r="C32" s="137" t="s">
        <v>19</v>
      </c>
      <c r="D32" s="137" t="s">
        <v>8</v>
      </c>
      <c r="E32" s="237">
        <v>372541.55517255847</v>
      </c>
      <c r="F32" s="237">
        <v>13238.343838461513</v>
      </c>
      <c r="G32" s="32">
        <v>359303.21133409697</v>
      </c>
      <c r="H32" s="138">
        <v>24089.78018881052</v>
      </c>
      <c r="I32" s="234">
        <v>1928.4099999999989</v>
      </c>
      <c r="J32" s="34">
        <f t="shared" si="3"/>
        <v>14.915171849554277</v>
      </c>
      <c r="K32" s="55">
        <f t="shared" si="4"/>
        <v>1.6372307189411941</v>
      </c>
      <c r="L32" s="79">
        <f t="shared" si="5"/>
        <v>12.5</v>
      </c>
      <c r="M32" s="50"/>
    </row>
    <row r="33" spans="1:13" ht="15.75" x14ac:dyDescent="0.25">
      <c r="A33" s="137" t="s">
        <v>18</v>
      </c>
      <c r="B33" s="236">
        <v>23</v>
      </c>
      <c r="C33" s="137" t="s">
        <v>19</v>
      </c>
      <c r="D33" s="137" t="s">
        <v>8</v>
      </c>
      <c r="E33" s="237">
        <v>511450.32098199677</v>
      </c>
      <c r="F33" s="237">
        <v>42937.775491082255</v>
      </c>
      <c r="G33" s="32">
        <v>468512.54549091449</v>
      </c>
      <c r="H33" s="138">
        <v>51007.184421485043</v>
      </c>
      <c r="I33" s="234">
        <v>2756.2900000000013</v>
      </c>
      <c r="J33" s="34">
        <f t="shared" si="3"/>
        <v>9.1852265676826796</v>
      </c>
      <c r="K33" s="55">
        <f t="shared" si="4"/>
        <v>1.0082575815238946</v>
      </c>
      <c r="L33" s="79">
        <f t="shared" si="5"/>
        <v>18.5</v>
      </c>
      <c r="M33" s="50"/>
    </row>
    <row r="34" spans="1:13" ht="15.75" x14ac:dyDescent="0.25">
      <c r="A34" s="137" t="s">
        <v>18</v>
      </c>
      <c r="B34" s="236">
        <v>32</v>
      </c>
      <c r="C34" s="137" t="s">
        <v>19</v>
      </c>
      <c r="D34" s="137" t="s">
        <v>8</v>
      </c>
      <c r="E34" s="237">
        <v>336118.12396505638</v>
      </c>
      <c r="F34" s="237">
        <v>35016.266505988053</v>
      </c>
      <c r="G34" s="32">
        <v>301101.8574590683</v>
      </c>
      <c r="H34" s="138">
        <v>46003.347888983233</v>
      </c>
      <c r="I34" s="234">
        <v>1761.239999999998</v>
      </c>
      <c r="J34" s="34">
        <f t="shared" si="3"/>
        <v>6.5452161913453999</v>
      </c>
      <c r="K34" s="55">
        <f t="shared" si="4"/>
        <v>0.71846500453846329</v>
      </c>
      <c r="L34" s="79">
        <f t="shared" si="5"/>
        <v>26.1</v>
      </c>
      <c r="M34" s="45"/>
    </row>
    <row r="35" spans="1:13" ht="15.75" x14ac:dyDescent="0.25">
      <c r="A35" s="137" t="s">
        <v>18</v>
      </c>
      <c r="B35" s="236">
        <v>46</v>
      </c>
      <c r="C35" s="137" t="s">
        <v>19</v>
      </c>
      <c r="D35" s="137" t="s">
        <v>8</v>
      </c>
      <c r="E35" s="237">
        <v>397140.12569544825</v>
      </c>
      <c r="F35" s="237">
        <v>20759.8782170296</v>
      </c>
      <c r="G35" s="32">
        <v>376380.24747841863</v>
      </c>
      <c r="H35" s="138">
        <v>25340.739321935973</v>
      </c>
      <c r="I35" s="234">
        <v>2256.239999999998</v>
      </c>
      <c r="J35" s="34">
        <f t="shared" si="0"/>
        <v>14.852772947812483</v>
      </c>
      <c r="K35" s="55">
        <f>+IF(D35="Weekday",J35/$J$46,IF(D35="Saturday",J35/$J$47,IF(D35="Sunday",J35/$J$48,"NA")))</f>
        <v>1.6303812236896249</v>
      </c>
      <c r="L35" s="79">
        <f t="shared" si="2"/>
        <v>11.2</v>
      </c>
      <c r="M35" s="45"/>
    </row>
    <row r="36" spans="1:13" s="139" customFormat="1" ht="15.75" x14ac:dyDescent="0.25">
      <c r="A36" s="137" t="s">
        <v>18</v>
      </c>
      <c r="B36" s="236">
        <v>65</v>
      </c>
      <c r="C36" s="137" t="s">
        <v>19</v>
      </c>
      <c r="D36" s="137" t="s">
        <v>8</v>
      </c>
      <c r="E36" s="237">
        <v>444770.97806582815</v>
      </c>
      <c r="F36" s="237">
        <v>28679.465185402991</v>
      </c>
      <c r="G36" s="32">
        <v>416091.51288042514</v>
      </c>
      <c r="H36" s="138">
        <v>32822.636691118299</v>
      </c>
      <c r="I36" s="234">
        <v>2077.4000000000015</v>
      </c>
      <c r="J36" s="34">
        <f t="shared" si="0"/>
        <v>12.676967935151236</v>
      </c>
      <c r="K36" s="55">
        <f t="shared" ref="K36:K41" si="6">+IF(D36="Weekday",J36/$J$46,IF(D36="Saturday",J36/$J$47,IF(D36="Sunday",J36/$J$48,"NA")))</f>
        <v>1.3915442299836702</v>
      </c>
      <c r="L36" s="79">
        <f t="shared" si="2"/>
        <v>15.8</v>
      </c>
      <c r="M36" s="45"/>
    </row>
    <row r="37" spans="1:13" s="139" customFormat="1" ht="15.75" x14ac:dyDescent="0.25">
      <c r="A37" s="137" t="s">
        <v>18</v>
      </c>
      <c r="B37" s="236">
        <v>84</v>
      </c>
      <c r="C37" s="137" t="s">
        <v>19</v>
      </c>
      <c r="D37" s="137" t="s">
        <v>8</v>
      </c>
      <c r="E37" s="237">
        <v>330723.43522616441</v>
      </c>
      <c r="F37" s="237">
        <v>21444.984491906896</v>
      </c>
      <c r="G37" s="32">
        <v>309278.45073425752</v>
      </c>
      <c r="H37" s="138">
        <v>28075.008206611503</v>
      </c>
      <c r="I37" s="234">
        <v>1663.8000000000013</v>
      </c>
      <c r="J37" s="34">
        <f t="shared" si="0"/>
        <v>11.016148186251437</v>
      </c>
      <c r="K37" s="55">
        <f t="shared" si="6"/>
        <v>1.2092369029913763</v>
      </c>
      <c r="L37" s="79">
        <f t="shared" si="2"/>
        <v>16.899999999999999</v>
      </c>
      <c r="M37" s="45"/>
    </row>
    <row r="38" spans="1:13" s="139" customFormat="1" ht="15.75" x14ac:dyDescent="0.25">
      <c r="A38" s="137" t="s">
        <v>18</v>
      </c>
      <c r="B38" s="236">
        <v>16</v>
      </c>
      <c r="C38" s="137" t="s">
        <v>19</v>
      </c>
      <c r="D38" s="137" t="s">
        <v>9</v>
      </c>
      <c r="E38" s="237">
        <v>366332.78136269422</v>
      </c>
      <c r="F38" s="237">
        <v>11934.172563747783</v>
      </c>
      <c r="G38" s="32">
        <v>354398.60879894643</v>
      </c>
      <c r="H38" s="138">
        <v>19928.21464809799</v>
      </c>
      <c r="I38" s="234">
        <v>1980.6799999999985</v>
      </c>
      <c r="J38" s="34">
        <f t="shared" si="0"/>
        <v>17.783761117445177</v>
      </c>
      <c r="K38" s="55">
        <f t="shared" si="6"/>
        <v>1.4994739559397283</v>
      </c>
      <c r="L38" s="79">
        <f t="shared" si="2"/>
        <v>10.1</v>
      </c>
      <c r="M38" s="45"/>
    </row>
    <row r="39" spans="1:13" s="139" customFormat="1" ht="15.75" x14ac:dyDescent="0.25">
      <c r="A39" s="137" t="s">
        <v>18</v>
      </c>
      <c r="B39" s="236">
        <v>23</v>
      </c>
      <c r="C39" s="137" t="s">
        <v>19</v>
      </c>
      <c r="D39" s="137" t="s">
        <v>9</v>
      </c>
      <c r="E39" s="237">
        <v>458206.13202427147</v>
      </c>
      <c r="F39" s="237">
        <v>34863.2173877186</v>
      </c>
      <c r="G39" s="32">
        <v>423342.91463655286</v>
      </c>
      <c r="H39" s="138">
        <v>39295.261061518642</v>
      </c>
      <c r="I39" s="234">
        <v>2326.6200000000008</v>
      </c>
      <c r="J39" s="34">
        <f t="shared" si="0"/>
        <v>10.77338343607869</v>
      </c>
      <c r="K39" s="55">
        <f t="shared" si="6"/>
        <v>0.90837971636413917</v>
      </c>
      <c r="L39" s="79">
        <f t="shared" si="2"/>
        <v>16.899999999999999</v>
      </c>
      <c r="M39" s="45"/>
    </row>
    <row r="40" spans="1:13" s="139" customFormat="1" ht="15.75" x14ac:dyDescent="0.25">
      <c r="A40" s="137" t="s">
        <v>18</v>
      </c>
      <c r="B40" s="236">
        <v>32</v>
      </c>
      <c r="C40" s="137" t="s">
        <v>19</v>
      </c>
      <c r="D40" s="137" t="s">
        <v>9</v>
      </c>
      <c r="E40" s="237">
        <v>336404.15385485749</v>
      </c>
      <c r="F40" s="237">
        <v>27889.867544638917</v>
      </c>
      <c r="G40" s="32">
        <v>308514.28631021857</v>
      </c>
      <c r="H40" s="138">
        <v>35150.291993550731</v>
      </c>
      <c r="I40" s="234">
        <v>1749.020000000002</v>
      </c>
      <c r="J40" s="34">
        <f t="shared" si="0"/>
        <v>8.777004935458967</v>
      </c>
      <c r="K40" s="55">
        <f t="shared" si="6"/>
        <v>0.74005100636247623</v>
      </c>
      <c r="L40" s="79">
        <f t="shared" si="2"/>
        <v>20.100000000000001</v>
      </c>
      <c r="M40" s="45"/>
    </row>
    <row r="41" spans="1:13" s="139" customFormat="1" ht="15.75" x14ac:dyDescent="0.25">
      <c r="A41" s="137" t="s">
        <v>18</v>
      </c>
      <c r="B41" s="236">
        <v>46</v>
      </c>
      <c r="C41" s="137" t="s">
        <v>19</v>
      </c>
      <c r="D41" s="137" t="s">
        <v>9</v>
      </c>
      <c r="E41" s="237">
        <v>352090.41805178323</v>
      </c>
      <c r="F41" s="237">
        <v>14301.033712889179</v>
      </c>
      <c r="G41" s="32">
        <v>337789.38433889404</v>
      </c>
      <c r="H41" s="138">
        <v>17664.870677550945</v>
      </c>
      <c r="I41" s="234">
        <v>1858.4600000000007</v>
      </c>
      <c r="J41" s="34">
        <f t="shared" si="0"/>
        <v>19.122097778398516</v>
      </c>
      <c r="K41" s="55">
        <f t="shared" si="6"/>
        <v>1.6123185310622694</v>
      </c>
      <c r="L41" s="79">
        <f t="shared" si="2"/>
        <v>9.5</v>
      </c>
      <c r="M41" s="45"/>
    </row>
    <row r="42" spans="1:13" ht="15.75" x14ac:dyDescent="0.25">
      <c r="A42" s="137" t="s">
        <v>18</v>
      </c>
      <c r="B42" s="236">
        <v>65</v>
      </c>
      <c r="C42" s="137" t="s">
        <v>19</v>
      </c>
      <c r="D42" s="137" t="s">
        <v>9</v>
      </c>
      <c r="E42" s="237">
        <v>453566.3971772106</v>
      </c>
      <c r="F42" s="237">
        <v>23938.191410257801</v>
      </c>
      <c r="G42" s="32">
        <v>429628.20576695283</v>
      </c>
      <c r="H42" s="138">
        <v>26628.003239190268</v>
      </c>
      <c r="I42" s="234">
        <v>2200.5200000000023</v>
      </c>
      <c r="J42" s="34">
        <f t="shared" si="0"/>
        <v>16.134450709944311</v>
      </c>
      <c r="K42" s="55">
        <f>+IF(D42="Weekday",J42/$J$46,IF(D42="Saturday",J42/$J$47,IF(D42="Sunday",J42/$J$48,"NA")))</f>
        <v>1.3604089974657936</v>
      </c>
      <c r="L42" s="79">
        <f t="shared" si="2"/>
        <v>12.1</v>
      </c>
      <c r="M42" s="50"/>
    </row>
    <row r="43" spans="1:13" ht="16.5" thickBot="1" x14ac:dyDescent="0.3">
      <c r="A43" s="36" t="s">
        <v>18</v>
      </c>
      <c r="B43" s="136">
        <v>84</v>
      </c>
      <c r="C43" s="36" t="s">
        <v>19</v>
      </c>
      <c r="D43" s="36" t="s">
        <v>9</v>
      </c>
      <c r="E43" s="238">
        <v>259683.51163423082</v>
      </c>
      <c r="F43" s="238">
        <v>15025.643773058315</v>
      </c>
      <c r="G43" s="37">
        <v>244657.8678611725</v>
      </c>
      <c r="H43" s="38">
        <v>19468.699808981426</v>
      </c>
      <c r="I43" s="240">
        <v>1346.8000000000004</v>
      </c>
      <c r="J43" s="39">
        <f>+G43/H43</f>
        <v>12.566728659933693</v>
      </c>
      <c r="K43" s="56">
        <f>+IF(D43="Weekday",J43/$J$46,IF(D43="Saturday",J43/$J$47,IF(D43="Sunday",J43/$J$48,"NA")))</f>
        <v>1.0595892630635493</v>
      </c>
      <c r="L43" s="84">
        <f t="shared" si="2"/>
        <v>14.5</v>
      </c>
      <c r="M43" s="46"/>
    </row>
    <row r="44" spans="1:13" ht="16.5" thickBot="1" x14ac:dyDescent="0.3">
      <c r="E44" s="54"/>
      <c r="F44" s="54"/>
      <c r="G44" s="54"/>
      <c r="H44" s="54"/>
      <c r="I44" s="52"/>
      <c r="J44" s="53"/>
    </row>
    <row r="45" spans="1:13" ht="24.75" thickBot="1" x14ac:dyDescent="0.3">
      <c r="A45" s="17" t="s">
        <v>42</v>
      </c>
      <c r="B45" s="11"/>
      <c r="C45" s="2"/>
      <c r="D45" s="2"/>
      <c r="E45" s="51"/>
      <c r="F45" s="2"/>
      <c r="G45" s="105">
        <v>1.6</v>
      </c>
      <c r="H45" s="40">
        <v>1.35</v>
      </c>
      <c r="I45" s="40">
        <v>1.2</v>
      </c>
      <c r="J45" s="106" t="s">
        <v>32</v>
      </c>
      <c r="K45" s="2"/>
      <c r="L45" s="2"/>
      <c r="M45" s="2"/>
    </row>
    <row r="46" spans="1:13" ht="15.75" x14ac:dyDescent="0.25">
      <c r="A46" s="2" t="s">
        <v>7</v>
      </c>
      <c r="B46" s="11"/>
      <c r="C46" s="2"/>
      <c r="D46" s="2"/>
      <c r="E46" s="2"/>
      <c r="F46" s="2"/>
      <c r="G46" s="157">
        <f>+$J$46*G45</f>
        <v>11.984000000000002</v>
      </c>
      <c r="H46" s="155">
        <f>+$J$46*H45</f>
        <v>10.111500000000001</v>
      </c>
      <c r="I46" s="153">
        <f>+$J$46*I45</f>
        <v>8.9879999999999995</v>
      </c>
      <c r="J46" s="107">
        <f>+ROUND(AVERAGEIF($D$4:$D$43,"Weekday",$J$4:$J$43),2)</f>
        <v>7.49</v>
      </c>
      <c r="K46" s="2"/>
      <c r="L46" s="2"/>
      <c r="M46" s="2"/>
    </row>
    <row r="47" spans="1:13" ht="15.75" x14ac:dyDescent="0.25">
      <c r="A47" s="2" t="s">
        <v>8</v>
      </c>
      <c r="B47" s="11"/>
      <c r="C47" s="2"/>
      <c r="D47" s="2"/>
      <c r="E47" s="2"/>
      <c r="F47" s="9"/>
      <c r="G47" s="161">
        <f>+$J$47*G45</f>
        <v>14.576000000000001</v>
      </c>
      <c r="H47" s="159">
        <f>+$J$47*H45</f>
        <v>12.298500000000001</v>
      </c>
      <c r="I47" s="160">
        <f>+$J$47*I45</f>
        <v>10.931999999999999</v>
      </c>
      <c r="J47" s="108">
        <f>+ROUND(AVERAGEIF($D$4:$D$43,"saturday",$J$4:$J$43),2)</f>
        <v>9.11</v>
      </c>
      <c r="K47" s="2"/>
      <c r="L47" s="2"/>
      <c r="M47" s="2"/>
    </row>
    <row r="48" spans="1:13" ht="16.5" thickBot="1" x14ac:dyDescent="0.3">
      <c r="A48" s="2" t="s">
        <v>9</v>
      </c>
      <c r="B48" s="11"/>
      <c r="C48" s="2"/>
      <c r="D48" s="2"/>
      <c r="E48" s="2"/>
      <c r="F48" s="9"/>
      <c r="G48" s="158">
        <f>+$J$48*G45</f>
        <v>18.975999999999999</v>
      </c>
      <c r="H48" s="156">
        <f>+$J$48*H45</f>
        <v>16.010999999999999</v>
      </c>
      <c r="I48" s="154">
        <f>+$J$48*I45</f>
        <v>14.231999999999999</v>
      </c>
      <c r="J48" s="109">
        <f>+ROUND(AVERAGEIF($D$4:$D$43,"sunday",$J$4:$J$43),2)</f>
        <v>11.86</v>
      </c>
      <c r="K48" s="2"/>
      <c r="L48" s="2"/>
      <c r="M48" s="2"/>
    </row>
    <row r="51" spans="1:4" x14ac:dyDescent="0.25">
      <c r="A51" s="139"/>
      <c r="C51" s="139"/>
      <c r="D51" s="139"/>
    </row>
    <row r="52" spans="1:4" x14ac:dyDescent="0.25">
      <c r="A52" s="139"/>
      <c r="B52" s="268"/>
      <c r="C52" s="269"/>
      <c r="D52" s="43"/>
    </row>
    <row r="53" spans="1:4" x14ac:dyDescent="0.25">
      <c r="A53" s="139"/>
      <c r="B53" s="268"/>
      <c r="C53" s="269"/>
      <c r="D53" s="43"/>
    </row>
    <row r="54" spans="1:4" x14ac:dyDescent="0.25">
      <c r="A54" s="139"/>
      <c r="B54" s="268"/>
      <c r="C54" s="269"/>
      <c r="D54" s="43"/>
    </row>
    <row r="55" spans="1:4" x14ac:dyDescent="0.25">
      <c r="A55" s="139"/>
      <c r="B55" s="268"/>
      <c r="C55" s="269"/>
      <c r="D55" s="43"/>
    </row>
  </sheetData>
  <sortState xmlns:xlrd2="http://schemas.microsoft.com/office/spreadsheetml/2017/richdata2" ref="A4:M43">
    <sortCondition ref="C4:C43"/>
    <sortCondition ref="D4:D43" customList="Weekday,Saturday,Sunday,Sunday/Holiday,Reduced"/>
    <sortCondition ref="B4:B43"/>
  </sortState>
  <mergeCells count="1">
    <mergeCell ref="A2:N2"/>
  </mergeCells>
  <conditionalFormatting sqref="K4:K43">
    <cfRule type="cellIs" dxfId="31" priority="5" stopIfTrue="1" operator="greaterThan">
      <formula>1.6</formula>
    </cfRule>
    <cfRule type="cellIs" dxfId="30" priority="6" stopIfTrue="1" operator="greaterThan">
      <formula>1.35</formula>
    </cfRule>
    <cfRule type="cellIs" dxfId="29" priority="7" stopIfTrue="1" operator="greaterThan">
      <formula>1.2</formula>
    </cfRule>
  </conditionalFormatting>
  <conditionalFormatting sqref="L4:L43">
    <cfRule type="cellIs" dxfId="28" priority="1" operator="lessThan">
      <formula>15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100"/>
  <sheetViews>
    <sheetView topLeftCell="A55" workbookViewId="0">
      <selection activeCell="E19" sqref="E19"/>
    </sheetView>
  </sheetViews>
  <sheetFormatPr defaultRowHeight="15" x14ac:dyDescent="0.25"/>
  <cols>
    <col min="1" max="1" width="29.7109375" bestFit="1" customWidth="1"/>
    <col min="2" max="2" width="14.42578125" style="12" customWidth="1"/>
    <col min="3" max="3" width="21.140625" customWidth="1"/>
    <col min="4" max="5" width="14.28515625" bestFit="1" customWidth="1"/>
    <col min="6" max="6" width="15.85546875" style="10" bestFit="1" customWidth="1"/>
    <col min="7" max="7" width="14" bestFit="1" customWidth="1"/>
    <col min="8" max="8" width="16.140625" bestFit="1" customWidth="1"/>
    <col min="9" max="9" width="15.140625" customWidth="1"/>
    <col min="10" max="10" width="12.5703125" style="13" customWidth="1"/>
    <col min="11" max="11" width="10.5703125" customWidth="1"/>
    <col min="12" max="12" width="10.85546875" bestFit="1" customWidth="1"/>
    <col min="13" max="13" width="13.7109375" style="13" customWidth="1"/>
    <col min="17" max="18" width="12.7109375" bestFit="1" customWidth="1"/>
  </cols>
  <sheetData>
    <row r="1" spans="1:14" ht="18.75" x14ac:dyDescent="0.3">
      <c r="A1" s="16" t="s">
        <v>38</v>
      </c>
      <c r="B1"/>
      <c r="F1"/>
      <c r="J1" s="4"/>
      <c r="K1" s="4"/>
      <c r="L1" s="4"/>
      <c r="M1" s="141"/>
    </row>
    <row r="2" spans="1:14" ht="47.25" thickBot="1" x14ac:dyDescent="0.75">
      <c r="A2" s="273" t="s">
        <v>100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72.75" thickBot="1" x14ac:dyDescent="0.3">
      <c r="A3" s="321" t="s">
        <v>10</v>
      </c>
      <c r="B3" s="322" t="s">
        <v>26</v>
      </c>
      <c r="C3" s="323" t="s">
        <v>27</v>
      </c>
      <c r="D3" s="323" t="s">
        <v>1</v>
      </c>
      <c r="E3" s="324" t="s">
        <v>2</v>
      </c>
      <c r="F3" s="324" t="s">
        <v>28</v>
      </c>
      <c r="G3" s="324" t="s">
        <v>29</v>
      </c>
      <c r="H3" s="325" t="s">
        <v>30</v>
      </c>
      <c r="I3" s="325" t="s">
        <v>31</v>
      </c>
      <c r="J3" s="326" t="s">
        <v>32</v>
      </c>
      <c r="K3" s="326" t="s">
        <v>33</v>
      </c>
      <c r="L3" s="329" t="s">
        <v>44</v>
      </c>
      <c r="M3" s="24" t="s">
        <v>34</v>
      </c>
    </row>
    <row r="4" spans="1:14" ht="15.75" x14ac:dyDescent="0.25">
      <c r="A4" s="137" t="s">
        <v>16</v>
      </c>
      <c r="B4" s="236">
        <v>420</v>
      </c>
      <c r="C4" s="137" t="s">
        <v>20</v>
      </c>
      <c r="D4" s="137" t="s">
        <v>7</v>
      </c>
      <c r="E4" s="237">
        <v>362762.45666615583</v>
      </c>
      <c r="F4" s="237">
        <v>19013.718688996662</v>
      </c>
      <c r="G4" s="27">
        <f t="shared" ref="G4:G33" si="0">+E4-F4</f>
        <v>343748.73797715915</v>
      </c>
      <c r="H4" s="138">
        <v>17255</v>
      </c>
      <c r="I4" s="234">
        <v>3745.8599999999992</v>
      </c>
      <c r="J4" s="29">
        <f t="shared" ref="J4:J43" si="1">+G4/H4</f>
        <v>19.921688668627016</v>
      </c>
      <c r="K4" s="57">
        <f t="shared" ref="K4:K43" si="2">+IF(D4="Weekday",J4/$J$84,IF(D4="Saturday",J4/$J$85,IF(D4="Sunday",J4/$J$86,"NA")))</f>
        <v>1.8045007852017227</v>
      </c>
      <c r="L4" s="83">
        <f>ROUND(H4/I4,1)</f>
        <v>4.5999999999999996</v>
      </c>
      <c r="M4" s="47"/>
    </row>
    <row r="5" spans="1:14" ht="15.75" x14ac:dyDescent="0.25">
      <c r="A5" s="137" t="s">
        <v>16</v>
      </c>
      <c r="B5" s="236">
        <v>421</v>
      </c>
      <c r="C5" s="137" t="s">
        <v>20</v>
      </c>
      <c r="D5" s="137" t="s">
        <v>7</v>
      </c>
      <c r="E5" s="237">
        <v>108447.03465111906</v>
      </c>
      <c r="F5" s="237">
        <v>4208.3631571873939</v>
      </c>
      <c r="G5" s="140">
        <f t="shared" si="0"/>
        <v>104238.67149393166</v>
      </c>
      <c r="H5" s="138">
        <v>4858</v>
      </c>
      <c r="I5" s="234">
        <v>1164.3059999999998</v>
      </c>
      <c r="J5" s="34">
        <f t="shared" si="1"/>
        <v>21.457116404679223</v>
      </c>
      <c r="K5" s="55">
        <f t="shared" si="2"/>
        <v>1.9435793844818139</v>
      </c>
      <c r="L5" s="79">
        <f t="shared" ref="L5:L81" si="3">ROUND(H5/I5,1)</f>
        <v>4.2</v>
      </c>
      <c r="M5" s="48"/>
    </row>
    <row r="6" spans="1:14" ht="15.75" x14ac:dyDescent="0.25">
      <c r="A6" s="137" t="s">
        <v>16</v>
      </c>
      <c r="B6" s="236">
        <v>426</v>
      </c>
      <c r="C6" s="137" t="s">
        <v>20</v>
      </c>
      <c r="D6" s="137" t="s">
        <v>7</v>
      </c>
      <c r="E6" s="237">
        <v>129061.9401128797</v>
      </c>
      <c r="F6" s="237">
        <v>10994.270675022966</v>
      </c>
      <c r="G6" s="140">
        <f t="shared" si="0"/>
        <v>118067.66943785673</v>
      </c>
      <c r="H6" s="138">
        <v>8052</v>
      </c>
      <c r="I6" s="234">
        <v>810.61199999999985</v>
      </c>
      <c r="J6" s="34">
        <f t="shared" si="1"/>
        <v>14.663148216325974</v>
      </c>
      <c r="K6" s="55">
        <f t="shared" si="2"/>
        <v>1.328183715246918</v>
      </c>
      <c r="L6" s="79">
        <f t="shared" si="3"/>
        <v>9.9</v>
      </c>
      <c r="M6" s="48"/>
    </row>
    <row r="7" spans="1:14" ht="15.75" x14ac:dyDescent="0.25">
      <c r="A7" s="137" t="s">
        <v>16</v>
      </c>
      <c r="B7" s="236">
        <v>436</v>
      </c>
      <c r="C7" s="137" t="s">
        <v>20</v>
      </c>
      <c r="D7" s="137" t="s">
        <v>7</v>
      </c>
      <c r="E7" s="237">
        <v>266334.2328573307</v>
      </c>
      <c r="F7" s="237">
        <v>32872.574151921282</v>
      </c>
      <c r="G7" s="140">
        <f t="shared" si="0"/>
        <v>233461.65870540941</v>
      </c>
      <c r="H7" s="138">
        <v>27011</v>
      </c>
      <c r="I7" s="234">
        <v>1199.4480000000001</v>
      </c>
      <c r="J7" s="34">
        <f t="shared" si="1"/>
        <v>8.6432067937288295</v>
      </c>
      <c r="K7" s="55">
        <f t="shared" si="2"/>
        <v>0.78289916609862598</v>
      </c>
      <c r="L7" s="79">
        <f t="shared" si="3"/>
        <v>22.5</v>
      </c>
      <c r="M7" s="48"/>
    </row>
    <row r="8" spans="1:14" ht="15.75" x14ac:dyDescent="0.25">
      <c r="A8" s="137" t="s">
        <v>16</v>
      </c>
      <c r="B8" s="236">
        <v>440</v>
      </c>
      <c r="C8" s="137" t="s">
        <v>20</v>
      </c>
      <c r="D8" s="137" t="s">
        <v>7</v>
      </c>
      <c r="E8" s="237">
        <v>934007.0422128588</v>
      </c>
      <c r="F8" s="237">
        <v>58864.513032416362</v>
      </c>
      <c r="G8" s="140">
        <f t="shared" si="0"/>
        <v>875142.52918044245</v>
      </c>
      <c r="H8" s="138">
        <v>43965</v>
      </c>
      <c r="I8" s="234">
        <v>6859.3990000000013</v>
      </c>
      <c r="J8" s="34">
        <f t="shared" si="1"/>
        <v>19.905436806105822</v>
      </c>
      <c r="K8" s="55">
        <f t="shared" si="2"/>
        <v>1.8030286962052375</v>
      </c>
      <c r="L8" s="79">
        <f t="shared" si="3"/>
        <v>6.4</v>
      </c>
      <c r="M8" s="48"/>
    </row>
    <row r="9" spans="1:14" ht="15.75" x14ac:dyDescent="0.25">
      <c r="A9" s="137" t="s">
        <v>16</v>
      </c>
      <c r="B9" s="236">
        <v>442</v>
      </c>
      <c r="C9" s="137" t="s">
        <v>20</v>
      </c>
      <c r="D9" s="137" t="s">
        <v>7</v>
      </c>
      <c r="E9" s="237">
        <v>516024.01324438548</v>
      </c>
      <c r="F9" s="237">
        <v>24249.415747149993</v>
      </c>
      <c r="G9" s="140">
        <f t="shared" si="0"/>
        <v>491774.59749723552</v>
      </c>
      <c r="H9" s="138">
        <v>26968</v>
      </c>
      <c r="I9" s="234">
        <v>5846.1049999999996</v>
      </c>
      <c r="J9" s="34">
        <f t="shared" si="1"/>
        <v>18.235486409716536</v>
      </c>
      <c r="K9" s="55">
        <f t="shared" si="2"/>
        <v>1.6517650733438893</v>
      </c>
      <c r="L9" s="79">
        <f t="shared" si="3"/>
        <v>4.5999999999999996</v>
      </c>
      <c r="M9" s="48"/>
    </row>
    <row r="10" spans="1:14" ht="15.75" x14ac:dyDescent="0.25">
      <c r="A10" s="137" t="s">
        <v>16</v>
      </c>
      <c r="B10" s="236">
        <v>444</v>
      </c>
      <c r="C10" s="137" t="s">
        <v>20</v>
      </c>
      <c r="D10" s="137" t="s">
        <v>7</v>
      </c>
      <c r="E10" s="237">
        <v>1771233.7423037621</v>
      </c>
      <c r="F10" s="237">
        <v>201456.16592191972</v>
      </c>
      <c r="G10" s="140">
        <f t="shared" si="0"/>
        <v>1569777.5763818424</v>
      </c>
      <c r="H10" s="138">
        <v>197660</v>
      </c>
      <c r="I10" s="234">
        <v>14040.740999999995</v>
      </c>
      <c r="J10" s="34">
        <f t="shared" si="1"/>
        <v>7.9418070240910774</v>
      </c>
      <c r="K10" s="55">
        <f t="shared" si="2"/>
        <v>0.71936657826911943</v>
      </c>
      <c r="L10" s="79">
        <f t="shared" si="3"/>
        <v>14.1</v>
      </c>
      <c r="M10" s="48"/>
    </row>
    <row r="11" spans="1:14" ht="15.75" x14ac:dyDescent="0.25">
      <c r="A11" s="137" t="s">
        <v>16</v>
      </c>
      <c r="B11" s="236" t="s">
        <v>15</v>
      </c>
      <c r="C11" s="137" t="s">
        <v>20</v>
      </c>
      <c r="D11" s="137" t="s">
        <v>7</v>
      </c>
      <c r="E11" s="237">
        <v>1057228.5060972855</v>
      </c>
      <c r="F11" s="237">
        <v>92356.556821736594</v>
      </c>
      <c r="G11" s="140">
        <f t="shared" si="0"/>
        <v>964871.94927554892</v>
      </c>
      <c r="H11" s="138">
        <v>79444</v>
      </c>
      <c r="I11" s="234">
        <v>8697.4569999999967</v>
      </c>
      <c r="J11" s="34">
        <f t="shared" ref="J11:J28" si="4">+G11/H11</f>
        <v>12.145309265338463</v>
      </c>
      <c r="K11" s="55">
        <f t="shared" si="2"/>
        <v>1.1001185928748609</v>
      </c>
      <c r="L11" s="79">
        <f t="shared" ref="L11:L28" si="5">ROUND(H11/I11,1)</f>
        <v>9.1</v>
      </c>
      <c r="M11" s="48"/>
    </row>
    <row r="12" spans="1:14" ht="15.75" x14ac:dyDescent="0.25">
      <c r="A12" s="137" t="s">
        <v>16</v>
      </c>
      <c r="B12" s="236">
        <v>446</v>
      </c>
      <c r="C12" s="137" t="s">
        <v>20</v>
      </c>
      <c r="D12" s="137" t="s">
        <v>7</v>
      </c>
      <c r="E12" s="237">
        <v>952507.10127239709</v>
      </c>
      <c r="F12" s="237">
        <v>92146.925797107731</v>
      </c>
      <c r="G12" s="140">
        <f t="shared" si="0"/>
        <v>860360.17547528935</v>
      </c>
      <c r="H12" s="138">
        <v>77552</v>
      </c>
      <c r="I12" s="234">
        <v>7306.3999999999987</v>
      </c>
      <c r="J12" s="34">
        <f t="shared" si="4"/>
        <v>11.093977917723455</v>
      </c>
      <c r="K12" s="55">
        <f t="shared" si="2"/>
        <v>1.0048893041416174</v>
      </c>
      <c r="L12" s="79">
        <f t="shared" si="5"/>
        <v>10.6</v>
      </c>
      <c r="M12" s="48"/>
    </row>
    <row r="13" spans="1:14" s="139" customFormat="1" ht="15.75" x14ac:dyDescent="0.25">
      <c r="A13" s="137" t="s">
        <v>16</v>
      </c>
      <c r="B13" s="236">
        <v>489</v>
      </c>
      <c r="C13" s="137" t="s">
        <v>20</v>
      </c>
      <c r="D13" s="137" t="s">
        <v>7</v>
      </c>
      <c r="E13" s="237">
        <v>216834.39186915275</v>
      </c>
      <c r="F13" s="237">
        <v>31305.813871892198</v>
      </c>
      <c r="G13" s="140">
        <f t="shared" si="0"/>
        <v>185528.57799726055</v>
      </c>
      <c r="H13" s="138">
        <v>16106</v>
      </c>
      <c r="I13" s="234">
        <v>1264.4939999999999</v>
      </c>
      <c r="J13" s="34">
        <f t="shared" si="4"/>
        <v>11.519221283823454</v>
      </c>
      <c r="K13" s="55">
        <f t="shared" si="2"/>
        <v>1.0434077249840086</v>
      </c>
      <c r="L13" s="79">
        <f t="shared" si="5"/>
        <v>12.7</v>
      </c>
      <c r="M13" s="48"/>
    </row>
    <row r="14" spans="1:14" s="139" customFormat="1" ht="15.75" x14ac:dyDescent="0.25">
      <c r="A14" s="137" t="s">
        <v>16</v>
      </c>
      <c r="B14" s="236">
        <v>497</v>
      </c>
      <c r="C14" s="137" t="s">
        <v>20</v>
      </c>
      <c r="D14" s="137" t="s">
        <v>7</v>
      </c>
      <c r="E14" s="237">
        <v>291071.68167129235</v>
      </c>
      <c r="F14" s="237">
        <v>16715.284691273562</v>
      </c>
      <c r="G14" s="140">
        <f t="shared" si="0"/>
        <v>274356.39698001876</v>
      </c>
      <c r="H14" s="138">
        <v>17299</v>
      </c>
      <c r="I14" s="234">
        <v>3074.3990000000003</v>
      </c>
      <c r="J14" s="34">
        <f t="shared" si="4"/>
        <v>15.859668014337174</v>
      </c>
      <c r="K14" s="55">
        <f t="shared" si="2"/>
        <v>1.4365641317334399</v>
      </c>
      <c r="L14" s="79">
        <f t="shared" si="5"/>
        <v>5.6</v>
      </c>
      <c r="M14" s="48"/>
    </row>
    <row r="15" spans="1:14" s="139" customFormat="1" ht="15.75" x14ac:dyDescent="0.25">
      <c r="A15" s="137" t="s">
        <v>16</v>
      </c>
      <c r="B15" s="236">
        <v>499</v>
      </c>
      <c r="C15" s="137" t="s">
        <v>20</v>
      </c>
      <c r="D15" s="137" t="s">
        <v>7</v>
      </c>
      <c r="E15" s="237">
        <v>303920.07324174512</v>
      </c>
      <c r="F15" s="237">
        <v>15030.131177130872</v>
      </c>
      <c r="G15" s="140">
        <f t="shared" si="0"/>
        <v>288889.94206461427</v>
      </c>
      <c r="H15" s="138">
        <v>14635</v>
      </c>
      <c r="I15" s="234">
        <v>3070.407999999999</v>
      </c>
      <c r="J15" s="34">
        <f t="shared" si="4"/>
        <v>19.739661227510371</v>
      </c>
      <c r="K15" s="55">
        <f t="shared" si="2"/>
        <v>1.788012792346954</v>
      </c>
      <c r="L15" s="79">
        <f t="shared" si="5"/>
        <v>4.8</v>
      </c>
      <c r="M15" s="48"/>
    </row>
    <row r="16" spans="1:14" s="139" customFormat="1" ht="15.75" x14ac:dyDescent="0.25">
      <c r="A16" s="137" t="s">
        <v>16</v>
      </c>
      <c r="B16" s="236">
        <v>420</v>
      </c>
      <c r="C16" s="137" t="s">
        <v>20</v>
      </c>
      <c r="D16" s="137" t="s">
        <v>8</v>
      </c>
      <c r="E16" s="237">
        <v>6434.6079755216415</v>
      </c>
      <c r="F16" s="237">
        <v>0</v>
      </c>
      <c r="G16" s="140">
        <f t="shared" si="0"/>
        <v>6434.6079755216415</v>
      </c>
      <c r="H16" s="138">
        <v>124</v>
      </c>
      <c r="I16" s="234">
        <v>45.035999999999987</v>
      </c>
      <c r="J16" s="34">
        <f t="shared" si="4"/>
        <v>51.89199980259388</v>
      </c>
      <c r="K16" s="55">
        <f t="shared" si="2"/>
        <v>4.5280977140134269</v>
      </c>
      <c r="L16" s="79">
        <f t="shared" si="5"/>
        <v>2.8</v>
      </c>
      <c r="M16" s="48"/>
    </row>
    <row r="17" spans="1:13" s="139" customFormat="1" ht="15.75" x14ac:dyDescent="0.25">
      <c r="A17" s="137" t="s">
        <v>16</v>
      </c>
      <c r="B17" s="236">
        <v>440</v>
      </c>
      <c r="C17" s="137" t="s">
        <v>20</v>
      </c>
      <c r="D17" s="137" t="s">
        <v>8</v>
      </c>
      <c r="E17" s="237">
        <v>121826.26334496499</v>
      </c>
      <c r="F17" s="237">
        <v>4875.5245877085272</v>
      </c>
      <c r="G17" s="140">
        <f t="shared" si="0"/>
        <v>116950.73875725646</v>
      </c>
      <c r="H17" s="138">
        <v>5405</v>
      </c>
      <c r="I17" s="234">
        <v>970.12799999999993</v>
      </c>
      <c r="J17" s="34">
        <f t="shared" si="4"/>
        <v>21.637509483303692</v>
      </c>
      <c r="K17" s="55">
        <f t="shared" si="2"/>
        <v>1.8880898327490132</v>
      </c>
      <c r="L17" s="79">
        <f t="shared" si="5"/>
        <v>5.6</v>
      </c>
      <c r="M17" s="48"/>
    </row>
    <row r="18" spans="1:13" s="139" customFormat="1" ht="15.75" x14ac:dyDescent="0.25">
      <c r="A18" s="137" t="s">
        <v>16</v>
      </c>
      <c r="B18" s="236">
        <v>442</v>
      </c>
      <c r="C18" s="137" t="s">
        <v>20</v>
      </c>
      <c r="D18" s="137" t="s">
        <v>8</v>
      </c>
      <c r="E18" s="237">
        <v>71671.875433777808</v>
      </c>
      <c r="F18" s="237">
        <v>2501.9961127943934</v>
      </c>
      <c r="G18" s="140">
        <f t="shared" si="0"/>
        <v>69169.879320983411</v>
      </c>
      <c r="H18" s="138">
        <v>2743</v>
      </c>
      <c r="I18" s="234">
        <v>594.21599999999989</v>
      </c>
      <c r="J18" s="34">
        <f t="shared" si="4"/>
        <v>25.216871790369453</v>
      </c>
      <c r="K18" s="55">
        <f t="shared" si="2"/>
        <v>2.2004251125976833</v>
      </c>
      <c r="L18" s="79">
        <f>ROUND(H18/I18,1)</f>
        <v>4.5999999999999996</v>
      </c>
      <c r="M18" s="48"/>
    </row>
    <row r="19" spans="1:13" s="139" customFormat="1" ht="15.75" x14ac:dyDescent="0.25">
      <c r="A19" s="137" t="s">
        <v>16</v>
      </c>
      <c r="B19" s="236">
        <v>444</v>
      </c>
      <c r="C19" s="137" t="s">
        <v>20</v>
      </c>
      <c r="D19" s="137" t="s">
        <v>8</v>
      </c>
      <c r="E19" s="237">
        <v>180009.46072422079</v>
      </c>
      <c r="F19" s="237">
        <v>22609.697783072643</v>
      </c>
      <c r="G19" s="140">
        <f t="shared" si="0"/>
        <v>157399.76294114813</v>
      </c>
      <c r="H19" s="138">
        <v>24242</v>
      </c>
      <c r="I19" s="234">
        <v>1293.0839999999998</v>
      </c>
      <c r="J19" s="34">
        <f t="shared" si="4"/>
        <v>6.4928538462646701</v>
      </c>
      <c r="K19" s="55">
        <f t="shared" si="2"/>
        <v>0.5665666532517164</v>
      </c>
      <c r="L19" s="79">
        <f t="shared" si="5"/>
        <v>18.7</v>
      </c>
      <c r="M19" s="48"/>
    </row>
    <row r="20" spans="1:13" s="139" customFormat="1" ht="15.75" x14ac:dyDescent="0.25">
      <c r="A20" s="137" t="s">
        <v>16</v>
      </c>
      <c r="B20" s="236">
        <v>445</v>
      </c>
      <c r="C20" s="137" t="s">
        <v>20</v>
      </c>
      <c r="D20" s="137" t="s">
        <v>8</v>
      </c>
      <c r="E20" s="237">
        <v>104288.22141648406</v>
      </c>
      <c r="F20" s="237">
        <v>7129.5003799250371</v>
      </c>
      <c r="G20" s="140">
        <f t="shared" si="0"/>
        <v>97158.721036559014</v>
      </c>
      <c r="H20" s="138">
        <v>8093</v>
      </c>
      <c r="I20" s="234">
        <v>829.548</v>
      </c>
      <c r="J20" s="34">
        <f t="shared" si="4"/>
        <v>12.005278763939085</v>
      </c>
      <c r="K20" s="55">
        <f t="shared" si="2"/>
        <v>1.0475810439737421</v>
      </c>
      <c r="L20" s="79">
        <f t="shared" si="5"/>
        <v>9.8000000000000007</v>
      </c>
      <c r="M20" s="48"/>
    </row>
    <row r="21" spans="1:13" s="139" customFormat="1" ht="15.75" x14ac:dyDescent="0.25">
      <c r="A21" s="137" t="s">
        <v>16</v>
      </c>
      <c r="B21" s="236">
        <v>420</v>
      </c>
      <c r="C21" s="137" t="s">
        <v>20</v>
      </c>
      <c r="D21" s="137" t="s">
        <v>9</v>
      </c>
      <c r="E21" s="237">
        <v>6434.6079755216415</v>
      </c>
      <c r="F21" s="237">
        <v>0</v>
      </c>
      <c r="G21" s="140">
        <f t="shared" si="0"/>
        <v>6434.6079755216415</v>
      </c>
      <c r="H21" s="138">
        <v>76</v>
      </c>
      <c r="I21" s="234">
        <v>45.035999999999987</v>
      </c>
      <c r="J21" s="34">
        <f t="shared" si="4"/>
        <v>84.665894414758441</v>
      </c>
      <c r="K21" s="55">
        <f t="shared" si="2"/>
        <v>5.0728516725439441</v>
      </c>
      <c r="L21" s="79">
        <f t="shared" si="5"/>
        <v>1.7</v>
      </c>
      <c r="M21" s="48"/>
    </row>
    <row r="22" spans="1:13" s="139" customFormat="1" ht="15.75" x14ac:dyDescent="0.25">
      <c r="A22" s="137" t="s">
        <v>16</v>
      </c>
      <c r="B22" s="236">
        <v>440</v>
      </c>
      <c r="C22" s="137" t="s">
        <v>20</v>
      </c>
      <c r="D22" s="137" t="s">
        <v>9</v>
      </c>
      <c r="E22" s="237">
        <v>131051.4362813616</v>
      </c>
      <c r="F22" s="237">
        <v>3721.1190142338091</v>
      </c>
      <c r="G22" s="140">
        <f t="shared" si="0"/>
        <v>127330.3172671278</v>
      </c>
      <c r="H22" s="138">
        <v>4258</v>
      </c>
      <c r="I22" s="234">
        <v>1043.8119999999999</v>
      </c>
      <c r="J22" s="34">
        <f t="shared" si="4"/>
        <v>29.903785173115971</v>
      </c>
      <c r="K22" s="55">
        <f t="shared" si="2"/>
        <v>1.7917187042010765</v>
      </c>
      <c r="L22" s="79">
        <f t="shared" si="5"/>
        <v>4.0999999999999996</v>
      </c>
      <c r="M22" s="48"/>
    </row>
    <row r="23" spans="1:13" ht="15.75" x14ac:dyDescent="0.25">
      <c r="A23" s="137" t="s">
        <v>16</v>
      </c>
      <c r="B23" s="236">
        <v>442</v>
      </c>
      <c r="C23" s="137" t="s">
        <v>20</v>
      </c>
      <c r="D23" s="137" t="s">
        <v>9</v>
      </c>
      <c r="E23" s="237">
        <v>77473.102057322016</v>
      </c>
      <c r="F23" s="237">
        <v>1849.6347550010557</v>
      </c>
      <c r="G23" s="140">
        <f t="shared" si="0"/>
        <v>75623.467302320962</v>
      </c>
      <c r="H23" s="138">
        <v>2285</v>
      </c>
      <c r="I23" s="234">
        <v>642.53199999999993</v>
      </c>
      <c r="J23" s="34">
        <f t="shared" si="4"/>
        <v>33.095609322678754</v>
      </c>
      <c r="K23" s="55">
        <f t="shared" si="2"/>
        <v>1.982960414780033</v>
      </c>
      <c r="L23" s="79">
        <f t="shared" si="5"/>
        <v>3.6</v>
      </c>
      <c r="M23" s="48"/>
    </row>
    <row r="24" spans="1:13" ht="15.75" x14ac:dyDescent="0.25">
      <c r="A24" s="137" t="s">
        <v>16</v>
      </c>
      <c r="B24" s="236">
        <v>444</v>
      </c>
      <c r="C24" s="137" t="s">
        <v>20</v>
      </c>
      <c r="D24" s="137" t="s">
        <v>9</v>
      </c>
      <c r="E24" s="237">
        <v>193344.99848546609</v>
      </c>
      <c r="F24" s="237">
        <v>18596.366448256955</v>
      </c>
      <c r="G24" s="140">
        <f t="shared" si="0"/>
        <v>174748.63203720914</v>
      </c>
      <c r="H24" s="138">
        <v>19564</v>
      </c>
      <c r="I24" s="234">
        <v>1388.8679999999999</v>
      </c>
      <c r="J24" s="34">
        <f t="shared" si="4"/>
        <v>8.9321525269479221</v>
      </c>
      <c r="K24" s="55">
        <f t="shared" si="2"/>
        <v>0.53517989975721514</v>
      </c>
      <c r="L24" s="79">
        <f t="shared" si="5"/>
        <v>14.1</v>
      </c>
      <c r="M24" s="48"/>
    </row>
    <row r="25" spans="1:13" ht="15.75" x14ac:dyDescent="0.25">
      <c r="A25" s="137" t="s">
        <v>16</v>
      </c>
      <c r="B25" s="236">
        <v>445</v>
      </c>
      <c r="C25" s="137" t="s">
        <v>20</v>
      </c>
      <c r="D25" s="137" t="s">
        <v>9</v>
      </c>
      <c r="E25" s="237">
        <v>112011.98144893027</v>
      </c>
      <c r="F25" s="237">
        <v>5885.7305823760789</v>
      </c>
      <c r="G25" s="140">
        <f t="shared" si="0"/>
        <v>106126.25086655418</v>
      </c>
      <c r="H25" s="138">
        <v>6711</v>
      </c>
      <c r="I25" s="234">
        <v>890.99599999999987</v>
      </c>
      <c r="J25" s="34">
        <f t="shared" si="4"/>
        <v>15.81377601945376</v>
      </c>
      <c r="K25" s="55">
        <f t="shared" si="2"/>
        <v>0.94750006108171114</v>
      </c>
      <c r="L25" s="79">
        <f t="shared" si="5"/>
        <v>7.5</v>
      </c>
      <c r="M25" s="48"/>
    </row>
    <row r="26" spans="1:13" ht="15.75" x14ac:dyDescent="0.25">
      <c r="A26" s="137" t="s">
        <v>14</v>
      </c>
      <c r="B26" s="236">
        <v>740</v>
      </c>
      <c r="C26" s="137" t="s">
        <v>20</v>
      </c>
      <c r="D26" s="137" t="s">
        <v>7</v>
      </c>
      <c r="E26" s="237">
        <v>108368.80419761772</v>
      </c>
      <c r="F26" s="237">
        <v>0</v>
      </c>
      <c r="G26" s="140">
        <f t="shared" si="0"/>
        <v>108368.80419761772</v>
      </c>
      <c r="H26" s="138">
        <v>8052</v>
      </c>
      <c r="I26" s="234">
        <v>874.92999999999961</v>
      </c>
      <c r="J26" s="34">
        <f t="shared" si="4"/>
        <v>13.45861949796544</v>
      </c>
      <c r="K26" s="55">
        <f t="shared" si="2"/>
        <v>1.2190778530765798</v>
      </c>
      <c r="L26" s="79">
        <f t="shared" si="5"/>
        <v>9.1999999999999993</v>
      </c>
      <c r="M26" s="48"/>
    </row>
    <row r="27" spans="1:13" ht="15.75" x14ac:dyDescent="0.25">
      <c r="A27" s="137" t="s">
        <v>14</v>
      </c>
      <c r="B27" s="236">
        <v>741</v>
      </c>
      <c r="C27" s="137" t="s">
        <v>20</v>
      </c>
      <c r="D27" s="137" t="s">
        <v>7</v>
      </c>
      <c r="E27" s="237">
        <v>130668.15266576959</v>
      </c>
      <c r="F27" s="237">
        <v>0</v>
      </c>
      <c r="G27" s="140">
        <f t="shared" si="0"/>
        <v>130668.15266576959</v>
      </c>
      <c r="H27" s="138">
        <v>8681</v>
      </c>
      <c r="I27" s="234">
        <v>1083.0600000000002</v>
      </c>
      <c r="J27" s="34">
        <f t="shared" si="4"/>
        <v>15.052200514430318</v>
      </c>
      <c r="K27" s="55">
        <f t="shared" si="2"/>
        <v>1.3634239596404274</v>
      </c>
      <c r="L27" s="79">
        <f t="shared" si="5"/>
        <v>8</v>
      </c>
      <c r="M27" s="48"/>
    </row>
    <row r="28" spans="1:13" ht="15.75" x14ac:dyDescent="0.25">
      <c r="A28" s="137" t="s">
        <v>14</v>
      </c>
      <c r="B28" s="236">
        <v>771</v>
      </c>
      <c r="C28" s="137" t="s">
        <v>20</v>
      </c>
      <c r="D28" s="137" t="s">
        <v>7</v>
      </c>
      <c r="E28" s="237">
        <v>157491.96879277425</v>
      </c>
      <c r="F28" s="237">
        <v>0</v>
      </c>
      <c r="G28" s="140">
        <f t="shared" si="0"/>
        <v>157491.96879277425</v>
      </c>
      <c r="H28" s="138">
        <v>8115</v>
      </c>
      <c r="I28" s="234">
        <v>1141.19</v>
      </c>
      <c r="J28" s="34">
        <f t="shared" si="4"/>
        <v>19.407513098308595</v>
      </c>
      <c r="K28" s="55">
        <f t="shared" si="2"/>
        <v>1.7579269110786773</v>
      </c>
      <c r="L28" s="79">
        <f t="shared" si="5"/>
        <v>7.1</v>
      </c>
      <c r="M28" s="48"/>
    </row>
    <row r="29" spans="1:13" ht="15.75" x14ac:dyDescent="0.25">
      <c r="A29" s="137" t="s">
        <v>14</v>
      </c>
      <c r="B29" s="236">
        <v>791</v>
      </c>
      <c r="C29" s="137" t="s">
        <v>20</v>
      </c>
      <c r="D29" s="137" t="s">
        <v>7</v>
      </c>
      <c r="E29" s="237">
        <v>94882.812070833024</v>
      </c>
      <c r="F29" s="237">
        <v>0</v>
      </c>
      <c r="G29" s="140">
        <f t="shared" si="0"/>
        <v>94882.812070833024</v>
      </c>
      <c r="H29" s="138">
        <v>3944</v>
      </c>
      <c r="I29" s="234">
        <v>752.7199999999998</v>
      </c>
      <c r="J29" s="34">
        <f t="shared" si="1"/>
        <v>24.057508131549955</v>
      </c>
      <c r="K29" s="55">
        <f t="shared" si="2"/>
        <v>2.1791221133650325</v>
      </c>
      <c r="L29" s="79">
        <f t="shared" si="3"/>
        <v>5.2</v>
      </c>
      <c r="M29" s="48"/>
    </row>
    <row r="30" spans="1:13" ht="15.75" x14ac:dyDescent="0.25">
      <c r="A30" s="137" t="s">
        <v>11</v>
      </c>
      <c r="B30" s="236">
        <v>787</v>
      </c>
      <c r="C30" s="137" t="s">
        <v>20</v>
      </c>
      <c r="D30" s="137" t="s">
        <v>7</v>
      </c>
      <c r="E30" s="237">
        <v>55620.166440344947</v>
      </c>
      <c r="F30" s="237">
        <v>0</v>
      </c>
      <c r="G30" s="140">
        <f t="shared" si="0"/>
        <v>55620.166440344947</v>
      </c>
      <c r="H30" s="138">
        <v>3093</v>
      </c>
      <c r="I30" s="234">
        <v>224</v>
      </c>
      <c r="J30" s="34">
        <f t="shared" si="1"/>
        <v>17.982595034059148</v>
      </c>
      <c r="K30" s="55">
        <f t="shared" si="2"/>
        <v>1.6288582458386911</v>
      </c>
      <c r="L30" s="79">
        <f t="shared" si="3"/>
        <v>13.8</v>
      </c>
      <c r="M30" s="48"/>
    </row>
    <row r="31" spans="1:13" ht="15.75" x14ac:dyDescent="0.25">
      <c r="A31" s="137" t="s">
        <v>11</v>
      </c>
      <c r="B31" s="236">
        <v>788</v>
      </c>
      <c r="C31" s="137" t="s">
        <v>20</v>
      </c>
      <c r="D31" s="137" t="s">
        <v>7</v>
      </c>
      <c r="E31" s="237">
        <v>75462.575965179363</v>
      </c>
      <c r="F31" s="237">
        <v>0</v>
      </c>
      <c r="G31" s="140">
        <f t="shared" si="0"/>
        <v>75462.575965179363</v>
      </c>
      <c r="H31" s="138">
        <v>5971</v>
      </c>
      <c r="I31" s="234">
        <v>494</v>
      </c>
      <c r="J31" s="34">
        <f t="shared" si="1"/>
        <v>12.638180533441528</v>
      </c>
      <c r="K31" s="55">
        <f t="shared" si="2"/>
        <v>1.1447627294783993</v>
      </c>
      <c r="L31" s="79">
        <f t="shared" si="3"/>
        <v>12.1</v>
      </c>
      <c r="M31" s="48"/>
    </row>
    <row r="32" spans="1:13" ht="15.75" x14ac:dyDescent="0.25">
      <c r="A32" s="137" t="s">
        <v>122</v>
      </c>
      <c r="B32" s="236" t="s">
        <v>87</v>
      </c>
      <c r="C32" s="137" t="s">
        <v>20</v>
      </c>
      <c r="D32" s="137" t="s">
        <v>7</v>
      </c>
      <c r="E32" s="237">
        <v>839951</v>
      </c>
      <c r="F32" s="237">
        <v>99146</v>
      </c>
      <c r="G32" s="140">
        <f t="shared" si="0"/>
        <v>740805</v>
      </c>
      <c r="H32" s="138">
        <v>40219</v>
      </c>
      <c r="I32" s="234">
        <v>3938.74</v>
      </c>
      <c r="J32" s="34">
        <f t="shared" si="1"/>
        <v>18.419279445038416</v>
      </c>
      <c r="K32" s="55">
        <f t="shared" si="2"/>
        <v>1.6684129932100016</v>
      </c>
      <c r="L32" s="79">
        <f t="shared" si="3"/>
        <v>10.199999999999999</v>
      </c>
      <c r="M32" s="48"/>
    </row>
    <row r="33" spans="1:13" ht="15.75" x14ac:dyDescent="0.25">
      <c r="A33" s="137" t="s">
        <v>21</v>
      </c>
      <c r="B33" s="236">
        <v>219</v>
      </c>
      <c r="C33" s="137" t="s">
        <v>20</v>
      </c>
      <c r="D33" s="137" t="s">
        <v>8</v>
      </c>
      <c r="E33" s="237">
        <v>103077.01138415447</v>
      </c>
      <c r="F33" s="237">
        <v>12533.863000000008</v>
      </c>
      <c r="G33" s="140">
        <f t="shared" si="0"/>
        <v>90543.148384154454</v>
      </c>
      <c r="H33" s="138">
        <v>9987</v>
      </c>
      <c r="I33" s="234">
        <v>1342.2</v>
      </c>
      <c r="J33" s="34">
        <f t="shared" si="1"/>
        <v>9.0661007694156854</v>
      </c>
      <c r="K33" s="55">
        <f t="shared" si="2"/>
        <v>0.79110826958252045</v>
      </c>
      <c r="L33" s="79">
        <f t="shared" si="3"/>
        <v>7.4</v>
      </c>
      <c r="M33" s="48"/>
    </row>
    <row r="34" spans="1:13" ht="15.75" x14ac:dyDescent="0.25">
      <c r="A34" s="137" t="s">
        <v>21</v>
      </c>
      <c r="B34" s="236">
        <v>225</v>
      </c>
      <c r="C34" s="137" t="s">
        <v>20</v>
      </c>
      <c r="D34" s="137" t="s">
        <v>8</v>
      </c>
      <c r="E34" s="237">
        <v>30438.634042180689</v>
      </c>
      <c r="F34" s="237">
        <v>2045.5489999999995</v>
      </c>
      <c r="G34" s="140">
        <f t="shared" ref="G34:G62" si="6">+E34-F34</f>
        <v>28393.08504218069</v>
      </c>
      <c r="H34" s="138">
        <v>2021</v>
      </c>
      <c r="I34" s="234">
        <v>334.79999999999995</v>
      </c>
      <c r="J34" s="34">
        <f t="shared" si="1"/>
        <v>14.04902772992612</v>
      </c>
      <c r="K34" s="55">
        <f t="shared" si="2"/>
        <v>1.2259186500808132</v>
      </c>
      <c r="L34" s="79">
        <f t="shared" si="3"/>
        <v>6</v>
      </c>
      <c r="M34" s="48"/>
    </row>
    <row r="35" spans="1:13" ht="15.75" x14ac:dyDescent="0.25">
      <c r="A35" s="137" t="s">
        <v>21</v>
      </c>
      <c r="B35" s="236">
        <v>227</v>
      </c>
      <c r="C35" s="137" t="s">
        <v>20</v>
      </c>
      <c r="D35" s="137" t="s">
        <v>8</v>
      </c>
      <c r="E35" s="237">
        <v>30438.634042180689</v>
      </c>
      <c r="F35" s="237">
        <v>2428.6679999999997</v>
      </c>
      <c r="G35" s="140">
        <f t="shared" si="6"/>
        <v>28009.966042180691</v>
      </c>
      <c r="H35" s="138">
        <v>2010</v>
      </c>
      <c r="I35" s="234">
        <v>334.79999999999995</v>
      </c>
      <c r="J35" s="34">
        <f t="shared" si="1"/>
        <v>13.935306488647109</v>
      </c>
      <c r="K35" s="55">
        <f t="shared" si="2"/>
        <v>1.2159953305974789</v>
      </c>
      <c r="L35" s="79">
        <f t="shared" si="3"/>
        <v>6</v>
      </c>
      <c r="M35" s="48"/>
    </row>
    <row r="36" spans="1:13" ht="15.75" x14ac:dyDescent="0.25">
      <c r="A36" s="137" t="s">
        <v>21</v>
      </c>
      <c r="B36" s="236">
        <v>538</v>
      </c>
      <c r="C36" s="137" t="s">
        <v>20</v>
      </c>
      <c r="D36" s="137" t="s">
        <v>8</v>
      </c>
      <c r="E36" s="237">
        <v>91509.08536907594</v>
      </c>
      <c r="F36" s="237">
        <v>13599.378000000021</v>
      </c>
      <c r="G36" s="140">
        <f t="shared" si="6"/>
        <v>77909.707369075913</v>
      </c>
      <c r="H36" s="138">
        <v>14417</v>
      </c>
      <c r="I36" s="234">
        <v>1179.9000000000001</v>
      </c>
      <c r="J36" s="34">
        <f t="shared" si="1"/>
        <v>5.4040166032514332</v>
      </c>
      <c r="K36" s="55">
        <f t="shared" si="2"/>
        <v>0.47155467742159102</v>
      </c>
      <c r="L36" s="79">
        <f t="shared" si="3"/>
        <v>12.2</v>
      </c>
      <c r="M36" s="48"/>
    </row>
    <row r="37" spans="1:13" ht="15.75" x14ac:dyDescent="0.25">
      <c r="A37" s="137" t="s">
        <v>21</v>
      </c>
      <c r="B37" s="236">
        <v>539</v>
      </c>
      <c r="C37" s="137" t="s">
        <v>20</v>
      </c>
      <c r="D37" s="137" t="s">
        <v>8</v>
      </c>
      <c r="E37" s="237">
        <v>111376.67249372513</v>
      </c>
      <c r="F37" s="237">
        <v>23172.187000000042</v>
      </c>
      <c r="G37" s="140">
        <f t="shared" si="6"/>
        <v>88204.485493725078</v>
      </c>
      <c r="H37" s="138">
        <v>21706</v>
      </c>
      <c r="I37" s="234">
        <v>1432.0800000000002</v>
      </c>
      <c r="J37" s="34">
        <f t="shared" si="1"/>
        <v>4.063599257980516</v>
      </c>
      <c r="K37" s="55">
        <f t="shared" si="2"/>
        <v>0.35458981308730503</v>
      </c>
      <c r="L37" s="79">
        <f t="shared" si="3"/>
        <v>15.2</v>
      </c>
      <c r="M37" s="48"/>
    </row>
    <row r="38" spans="1:13" ht="15.75" x14ac:dyDescent="0.25">
      <c r="A38" s="137" t="s">
        <v>21</v>
      </c>
      <c r="B38" s="236">
        <v>540</v>
      </c>
      <c r="C38" s="137" t="s">
        <v>20</v>
      </c>
      <c r="D38" s="137" t="s">
        <v>8</v>
      </c>
      <c r="E38" s="237">
        <v>46948.061480012744</v>
      </c>
      <c r="F38" s="237">
        <v>17943.163000000022</v>
      </c>
      <c r="G38" s="140">
        <f t="shared" si="6"/>
        <v>29004.898480012722</v>
      </c>
      <c r="H38" s="138">
        <v>13421</v>
      </c>
      <c r="I38" s="234">
        <v>599.4</v>
      </c>
      <c r="J38" s="34">
        <f t="shared" si="1"/>
        <v>2.161157773639276</v>
      </c>
      <c r="K38" s="55">
        <f t="shared" si="2"/>
        <v>0.18858270276084432</v>
      </c>
      <c r="L38" s="79">
        <f t="shared" si="3"/>
        <v>22.4</v>
      </c>
      <c r="M38" s="48"/>
    </row>
    <row r="39" spans="1:13" ht="15.75" x14ac:dyDescent="0.25">
      <c r="A39" s="137" t="s">
        <v>21</v>
      </c>
      <c r="B39" s="236">
        <v>615</v>
      </c>
      <c r="C39" s="137" t="s">
        <v>20</v>
      </c>
      <c r="D39" s="137" t="s">
        <v>8</v>
      </c>
      <c r="E39" s="237">
        <v>67007.618852735948</v>
      </c>
      <c r="F39" s="237">
        <v>7795.7759999999989</v>
      </c>
      <c r="G39" s="140">
        <f t="shared" si="6"/>
        <v>59211.84285273595</v>
      </c>
      <c r="H39" s="138">
        <v>6228</v>
      </c>
      <c r="I39" s="234">
        <v>1090.8</v>
      </c>
      <c r="J39" s="34">
        <f t="shared" si="1"/>
        <v>9.5073607663352515</v>
      </c>
      <c r="K39" s="55">
        <f t="shared" si="2"/>
        <v>0.82961263231546689</v>
      </c>
      <c r="L39" s="79">
        <f t="shared" si="3"/>
        <v>5.7</v>
      </c>
      <c r="M39" s="48"/>
    </row>
    <row r="40" spans="1:13" ht="15.75" x14ac:dyDescent="0.25">
      <c r="A40" s="137" t="s">
        <v>21</v>
      </c>
      <c r="B40" s="236">
        <v>716</v>
      </c>
      <c r="C40" s="137" t="s">
        <v>20</v>
      </c>
      <c r="D40" s="137" t="s">
        <v>8</v>
      </c>
      <c r="E40" s="237">
        <v>39572.422334190233</v>
      </c>
      <c r="F40" s="237">
        <v>7729.5929999999971</v>
      </c>
      <c r="G40" s="140">
        <f t="shared" si="6"/>
        <v>31842.829334190235</v>
      </c>
      <c r="H40" s="138">
        <v>7106</v>
      </c>
      <c r="I40" s="234">
        <v>604.79999999999995</v>
      </c>
      <c r="J40" s="34">
        <f t="shared" si="1"/>
        <v>4.4811186791711561</v>
      </c>
      <c r="K40" s="55">
        <f t="shared" si="2"/>
        <v>0.39102257235350402</v>
      </c>
      <c r="L40" s="79">
        <f t="shared" si="3"/>
        <v>11.7</v>
      </c>
      <c r="M40" s="48"/>
    </row>
    <row r="41" spans="1:13" ht="15.75" x14ac:dyDescent="0.25">
      <c r="A41" s="137" t="s">
        <v>21</v>
      </c>
      <c r="B41" s="236">
        <v>805</v>
      </c>
      <c r="C41" s="137" t="s">
        <v>20</v>
      </c>
      <c r="D41" s="137" t="s">
        <v>8</v>
      </c>
      <c r="E41" s="237">
        <v>89617.723989771344</v>
      </c>
      <c r="F41" s="237">
        <v>11304.582000000006</v>
      </c>
      <c r="G41" s="140">
        <f t="shared" si="6"/>
        <v>78313.141989771335</v>
      </c>
      <c r="H41" s="138">
        <v>8323</v>
      </c>
      <c r="I41" s="234">
        <v>997.21800000000007</v>
      </c>
      <c r="J41" s="34">
        <f t="shared" si="1"/>
        <v>9.4092445019549835</v>
      </c>
      <c r="K41" s="55">
        <f t="shared" si="2"/>
        <v>0.82105100366099326</v>
      </c>
      <c r="L41" s="79">
        <f t="shared" si="3"/>
        <v>8.3000000000000007</v>
      </c>
      <c r="M41" s="48"/>
    </row>
    <row r="42" spans="1:13" ht="15.75" x14ac:dyDescent="0.25">
      <c r="A42" s="137" t="s">
        <v>21</v>
      </c>
      <c r="B42" s="236">
        <v>538</v>
      </c>
      <c r="C42" s="137" t="s">
        <v>20</v>
      </c>
      <c r="D42" s="137" t="s">
        <v>9</v>
      </c>
      <c r="E42" s="237">
        <v>78730.835484905678</v>
      </c>
      <c r="F42" s="237">
        <v>11165.421000000011</v>
      </c>
      <c r="G42" s="140">
        <f t="shared" si="6"/>
        <v>67565.414484905661</v>
      </c>
      <c r="H42" s="138">
        <v>11652</v>
      </c>
      <c r="I42" s="234">
        <v>1016.1600000000001</v>
      </c>
      <c r="J42" s="34">
        <f t="shared" si="1"/>
        <v>5.7986109238676331</v>
      </c>
      <c r="K42" s="55">
        <f t="shared" si="2"/>
        <v>0.34743025307774911</v>
      </c>
      <c r="L42" s="79">
        <f t="shared" si="3"/>
        <v>11.5</v>
      </c>
      <c r="M42" s="48"/>
    </row>
    <row r="43" spans="1:13" ht="15.75" x14ac:dyDescent="0.25">
      <c r="A43" s="137" t="s">
        <v>21</v>
      </c>
      <c r="B43" s="236">
        <v>539</v>
      </c>
      <c r="C43" s="137" t="s">
        <v>20</v>
      </c>
      <c r="D43" s="137" t="s">
        <v>9</v>
      </c>
      <c r="E43" s="237">
        <v>89429.672421625975</v>
      </c>
      <c r="F43" s="237">
        <v>15899.647000000028</v>
      </c>
      <c r="G43" s="140">
        <f t="shared" si="6"/>
        <v>73530.025421625949</v>
      </c>
      <c r="H43" s="138">
        <v>13850</v>
      </c>
      <c r="I43" s="234">
        <v>1145.5</v>
      </c>
      <c r="J43" s="34">
        <f t="shared" si="1"/>
        <v>5.3090271062545815</v>
      </c>
      <c r="K43" s="55">
        <f t="shared" si="2"/>
        <v>0.31809629156708097</v>
      </c>
      <c r="L43" s="79">
        <f t="shared" si="3"/>
        <v>12.1</v>
      </c>
      <c r="M43" s="48"/>
    </row>
    <row r="44" spans="1:13" ht="15.75" x14ac:dyDescent="0.25">
      <c r="A44" s="137" t="s">
        <v>21</v>
      </c>
      <c r="B44" s="236">
        <v>540</v>
      </c>
      <c r="C44" s="137" t="s">
        <v>20</v>
      </c>
      <c r="D44" s="137" t="s">
        <v>9</v>
      </c>
      <c r="E44" s="237">
        <v>48594.628030243184</v>
      </c>
      <c r="F44" s="237">
        <v>15942.680000000015</v>
      </c>
      <c r="G44" s="140">
        <f t="shared" si="6"/>
        <v>32651.948030243169</v>
      </c>
      <c r="H44" s="138">
        <v>11032</v>
      </c>
      <c r="I44" s="234">
        <v>609</v>
      </c>
      <c r="J44" s="34">
        <f t="shared" ref="J44:J81" si="7">+G44/H44</f>
        <v>2.959748733705871</v>
      </c>
      <c r="K44" s="55">
        <f t="shared" ref="K44:K81" si="8">+IF(D44="Weekday",J44/$J$84,IF(D44="Saturday",J44/$J$85,IF(D44="Sunday",J44/$J$86,"NA")))</f>
        <v>0.17733665270856025</v>
      </c>
      <c r="L44" s="79">
        <f t="shared" si="3"/>
        <v>18.100000000000001</v>
      </c>
      <c r="M44" s="48"/>
    </row>
    <row r="45" spans="1:13" ht="15.75" x14ac:dyDescent="0.25">
      <c r="A45" s="137" t="s">
        <v>21</v>
      </c>
      <c r="B45" s="236">
        <v>219</v>
      </c>
      <c r="C45" s="137" t="s">
        <v>20</v>
      </c>
      <c r="D45" s="137" t="s">
        <v>7</v>
      </c>
      <c r="E45" s="237">
        <v>1033220.6548756333</v>
      </c>
      <c r="F45" s="237">
        <v>161076.90900000086</v>
      </c>
      <c r="G45" s="140">
        <f t="shared" si="6"/>
        <v>872143.74587563239</v>
      </c>
      <c r="H45" s="138">
        <v>129786</v>
      </c>
      <c r="I45" s="234">
        <v>13284.612000000001</v>
      </c>
      <c r="J45" s="34">
        <f t="shared" si="7"/>
        <v>6.7198599685299829</v>
      </c>
      <c r="K45" s="55">
        <f t="shared" si="8"/>
        <v>0.60868296816394774</v>
      </c>
      <c r="L45" s="79">
        <f t="shared" si="3"/>
        <v>9.8000000000000007</v>
      </c>
      <c r="M45" s="48"/>
    </row>
    <row r="46" spans="1:13" ht="15.75" x14ac:dyDescent="0.25">
      <c r="A46" s="137" t="s">
        <v>21</v>
      </c>
      <c r="B46" s="236">
        <v>223</v>
      </c>
      <c r="C46" s="137" t="s">
        <v>20</v>
      </c>
      <c r="D46" s="137" t="s">
        <v>7</v>
      </c>
      <c r="E46" s="237">
        <v>227321.21453261154</v>
      </c>
      <c r="F46" s="237">
        <v>38680.283999999985</v>
      </c>
      <c r="G46" s="140">
        <f t="shared" si="6"/>
        <v>188640.93053261156</v>
      </c>
      <c r="H46" s="138">
        <v>30802</v>
      </c>
      <c r="I46" s="234">
        <v>2686.6880000000001</v>
      </c>
      <c r="J46" s="34">
        <f t="shared" si="7"/>
        <v>6.1243078544448917</v>
      </c>
      <c r="K46" s="55">
        <f t="shared" si="8"/>
        <v>0.55473803029392144</v>
      </c>
      <c r="L46" s="79">
        <f t="shared" si="3"/>
        <v>11.5</v>
      </c>
      <c r="M46" s="48"/>
    </row>
    <row r="47" spans="1:13" ht="15.75" x14ac:dyDescent="0.25">
      <c r="A47" s="137" t="s">
        <v>21</v>
      </c>
      <c r="B47" s="236">
        <v>225</v>
      </c>
      <c r="C47" s="137" t="s">
        <v>20</v>
      </c>
      <c r="D47" s="137" t="s">
        <v>7</v>
      </c>
      <c r="E47" s="237">
        <v>203367.96282948804</v>
      </c>
      <c r="F47" s="237">
        <v>25387.433999999983</v>
      </c>
      <c r="G47" s="140">
        <f t="shared" si="6"/>
        <v>177980.52882948806</v>
      </c>
      <c r="H47" s="138">
        <v>23653</v>
      </c>
      <c r="I47" s="234">
        <v>2302.3000000000002</v>
      </c>
      <c r="J47" s="34">
        <f t="shared" si="7"/>
        <v>7.5246492550411386</v>
      </c>
      <c r="K47" s="55">
        <f t="shared" si="8"/>
        <v>0.68158054846387128</v>
      </c>
      <c r="L47" s="79">
        <f t="shared" si="3"/>
        <v>10.3</v>
      </c>
      <c r="M47" s="48"/>
    </row>
    <row r="48" spans="1:13" ht="15.75" x14ac:dyDescent="0.25">
      <c r="A48" s="137" t="s">
        <v>21</v>
      </c>
      <c r="B48" s="236">
        <v>227</v>
      </c>
      <c r="C48" s="137" t="s">
        <v>20</v>
      </c>
      <c r="D48" s="137" t="s">
        <v>7</v>
      </c>
      <c r="E48" s="237">
        <v>219514.78577991069</v>
      </c>
      <c r="F48" s="237">
        <v>28870.000000000004</v>
      </c>
      <c r="G48" s="140">
        <f t="shared" si="6"/>
        <v>190644.78577991069</v>
      </c>
      <c r="H48" s="138">
        <v>23225</v>
      </c>
      <c r="I48" s="234">
        <v>2378.1999999999998</v>
      </c>
      <c r="J48" s="34">
        <f t="shared" si="7"/>
        <v>8.2086021864331826</v>
      </c>
      <c r="K48" s="55">
        <f t="shared" si="8"/>
        <v>0.74353280674213618</v>
      </c>
      <c r="L48" s="79">
        <f t="shared" si="3"/>
        <v>9.8000000000000007</v>
      </c>
      <c r="M48" s="48"/>
    </row>
    <row r="49" spans="1:13" ht="15.75" x14ac:dyDescent="0.25">
      <c r="A49" s="137" t="s">
        <v>21</v>
      </c>
      <c r="B49" s="236">
        <v>537</v>
      </c>
      <c r="C49" s="137" t="s">
        <v>20</v>
      </c>
      <c r="D49" s="137" t="s">
        <v>7</v>
      </c>
      <c r="E49" s="237">
        <v>171934.44419894775</v>
      </c>
      <c r="F49" s="237">
        <v>19824.342000000011</v>
      </c>
      <c r="G49" s="140">
        <f t="shared" si="6"/>
        <v>152110.10219894774</v>
      </c>
      <c r="H49" s="138">
        <v>17578</v>
      </c>
      <c r="I49" s="234">
        <v>1505.35</v>
      </c>
      <c r="J49" s="34">
        <f t="shared" si="7"/>
        <v>8.6534362384200563</v>
      </c>
      <c r="K49" s="55">
        <f t="shared" si="8"/>
        <v>0.78382574623370083</v>
      </c>
      <c r="L49" s="79">
        <f t="shared" si="3"/>
        <v>11.7</v>
      </c>
      <c r="M49" s="48"/>
    </row>
    <row r="50" spans="1:13" ht="15.75" x14ac:dyDescent="0.25">
      <c r="A50" s="137" t="s">
        <v>21</v>
      </c>
      <c r="B50" s="236">
        <v>538</v>
      </c>
      <c r="C50" s="137" t="s">
        <v>20</v>
      </c>
      <c r="D50" s="137" t="s">
        <v>7</v>
      </c>
      <c r="E50" s="237">
        <v>610334.30204585427</v>
      </c>
      <c r="F50" s="237">
        <v>111615.1299999995</v>
      </c>
      <c r="G50" s="140">
        <f t="shared" si="6"/>
        <v>498719.17204585479</v>
      </c>
      <c r="H50" s="138">
        <v>106301</v>
      </c>
      <c r="I50" s="234">
        <v>7493.8600000000006</v>
      </c>
      <c r="J50" s="34">
        <f t="shared" si="7"/>
        <v>4.6915755453462786</v>
      </c>
      <c r="K50" s="55">
        <f t="shared" si="8"/>
        <v>0.42496155302049626</v>
      </c>
      <c r="L50" s="79">
        <f t="shared" si="3"/>
        <v>14.2</v>
      </c>
      <c r="M50" s="48"/>
    </row>
    <row r="51" spans="1:13" ht="15.75" x14ac:dyDescent="0.25">
      <c r="A51" s="137" t="s">
        <v>21</v>
      </c>
      <c r="B51" s="236">
        <v>539</v>
      </c>
      <c r="C51" s="137" t="s">
        <v>20</v>
      </c>
      <c r="D51" s="137" t="s">
        <v>7</v>
      </c>
      <c r="E51" s="237">
        <v>1056183.6303056676</v>
      </c>
      <c r="F51" s="237">
        <v>256351.14900000527</v>
      </c>
      <c r="G51" s="140">
        <f t="shared" si="6"/>
        <v>799832.48130566231</v>
      </c>
      <c r="H51" s="138">
        <v>228448</v>
      </c>
      <c r="I51" s="234">
        <v>12954.358999999999</v>
      </c>
      <c r="J51" s="34">
        <f t="shared" si="7"/>
        <v>3.5011577308869515</v>
      </c>
      <c r="K51" s="55">
        <f t="shared" si="8"/>
        <v>0.31713385243541231</v>
      </c>
      <c r="L51" s="79">
        <f t="shared" si="3"/>
        <v>17.600000000000001</v>
      </c>
      <c r="M51" s="48"/>
    </row>
    <row r="52" spans="1:13" ht="15.75" x14ac:dyDescent="0.25">
      <c r="A52" s="137" t="s">
        <v>21</v>
      </c>
      <c r="B52" s="236">
        <v>540</v>
      </c>
      <c r="C52" s="137" t="s">
        <v>20</v>
      </c>
      <c r="D52" s="137" t="s">
        <v>7</v>
      </c>
      <c r="E52" s="237">
        <v>832295.30959712307</v>
      </c>
      <c r="F52" s="237">
        <v>204592.85300000312</v>
      </c>
      <c r="G52" s="140">
        <f t="shared" si="6"/>
        <v>627702.45659711992</v>
      </c>
      <c r="H52" s="138">
        <v>166029</v>
      </c>
      <c r="I52" s="234">
        <v>10946.2</v>
      </c>
      <c r="J52" s="34">
        <f t="shared" si="7"/>
        <v>3.7806796198081054</v>
      </c>
      <c r="K52" s="55">
        <f t="shared" si="8"/>
        <v>0.34245286411305303</v>
      </c>
      <c r="L52" s="79">
        <f t="shared" si="3"/>
        <v>15.2</v>
      </c>
      <c r="M52" s="48"/>
    </row>
    <row r="53" spans="1:13" ht="15.75" x14ac:dyDescent="0.25">
      <c r="A53" s="137" t="s">
        <v>21</v>
      </c>
      <c r="B53" s="236">
        <v>542</v>
      </c>
      <c r="C53" s="137" t="s">
        <v>20</v>
      </c>
      <c r="D53" s="137" t="s">
        <v>7</v>
      </c>
      <c r="E53" s="237">
        <v>310559.986550709</v>
      </c>
      <c r="F53" s="237">
        <v>59166.355999999731</v>
      </c>
      <c r="G53" s="140">
        <f t="shared" si="6"/>
        <v>251393.63055070926</v>
      </c>
      <c r="H53" s="138">
        <v>46687</v>
      </c>
      <c r="I53" s="234">
        <v>4000.3</v>
      </c>
      <c r="J53" s="34">
        <f t="shared" si="7"/>
        <v>5.3846601955728417</v>
      </c>
      <c r="K53" s="55">
        <f t="shared" si="8"/>
        <v>0.48774095974391685</v>
      </c>
      <c r="L53" s="79">
        <f t="shared" si="3"/>
        <v>11.7</v>
      </c>
      <c r="M53" s="48"/>
    </row>
    <row r="54" spans="1:13" ht="15.75" x14ac:dyDescent="0.25">
      <c r="A54" s="137" t="s">
        <v>21</v>
      </c>
      <c r="B54" s="236">
        <v>604</v>
      </c>
      <c r="C54" s="137" t="s">
        <v>20</v>
      </c>
      <c r="D54" s="137" t="s">
        <v>7</v>
      </c>
      <c r="E54" s="237">
        <v>141097.06270877708</v>
      </c>
      <c r="F54" s="237">
        <v>10150.398000000012</v>
      </c>
      <c r="G54" s="140">
        <f t="shared" si="6"/>
        <v>130946.66470877707</v>
      </c>
      <c r="H54" s="138">
        <v>11407</v>
      </c>
      <c r="I54" s="234">
        <v>1733.05</v>
      </c>
      <c r="J54" s="34">
        <f t="shared" si="7"/>
        <v>11.479500719626287</v>
      </c>
      <c r="K54" s="55">
        <f t="shared" si="8"/>
        <v>1.0398098477922362</v>
      </c>
      <c r="L54" s="79">
        <f t="shared" si="3"/>
        <v>6.6</v>
      </c>
      <c r="M54" s="48"/>
    </row>
    <row r="55" spans="1:13" ht="15.75" x14ac:dyDescent="0.25">
      <c r="A55" s="137" t="s">
        <v>21</v>
      </c>
      <c r="B55" s="236">
        <v>614</v>
      </c>
      <c r="C55" s="137" t="s">
        <v>20</v>
      </c>
      <c r="D55" s="137" t="s">
        <v>7</v>
      </c>
      <c r="E55" s="237">
        <v>179917.4610620639</v>
      </c>
      <c r="F55" s="237">
        <v>11812.487000000005</v>
      </c>
      <c r="G55" s="140">
        <f t="shared" si="6"/>
        <v>168104.97406206391</v>
      </c>
      <c r="H55" s="138">
        <v>8139</v>
      </c>
      <c r="I55" s="234">
        <v>2454.1</v>
      </c>
      <c r="J55" s="34">
        <f t="shared" si="7"/>
        <v>20.654254092893957</v>
      </c>
      <c r="K55" s="55">
        <f t="shared" si="8"/>
        <v>1.870856348994018</v>
      </c>
      <c r="L55" s="79">
        <f t="shared" si="3"/>
        <v>3.3</v>
      </c>
      <c r="M55" s="48"/>
    </row>
    <row r="56" spans="1:13" ht="15.75" x14ac:dyDescent="0.25">
      <c r="A56" s="137" t="s">
        <v>21</v>
      </c>
      <c r="B56" s="236">
        <v>615</v>
      </c>
      <c r="C56" s="137" t="s">
        <v>20</v>
      </c>
      <c r="D56" s="137" t="s">
        <v>7</v>
      </c>
      <c r="E56" s="237">
        <v>332914.3209107602</v>
      </c>
      <c r="F56" s="237">
        <v>53074.019999999786</v>
      </c>
      <c r="G56" s="140">
        <f t="shared" si="6"/>
        <v>279840.30091076042</v>
      </c>
      <c r="H56" s="138">
        <v>40624</v>
      </c>
      <c r="I56" s="234">
        <v>5439.5</v>
      </c>
      <c r="J56" s="34">
        <f t="shared" si="7"/>
        <v>6.8885462020175368</v>
      </c>
      <c r="K56" s="55">
        <f t="shared" si="8"/>
        <v>0.62396251829868998</v>
      </c>
      <c r="L56" s="79">
        <f t="shared" si="3"/>
        <v>7.5</v>
      </c>
      <c r="M56" s="48"/>
    </row>
    <row r="57" spans="1:13" ht="15.75" x14ac:dyDescent="0.25">
      <c r="A57" s="137" t="s">
        <v>21</v>
      </c>
      <c r="B57" s="236">
        <v>705</v>
      </c>
      <c r="C57" s="137" t="s">
        <v>20</v>
      </c>
      <c r="D57" s="137" t="s">
        <v>7</v>
      </c>
      <c r="E57" s="237">
        <v>468700.45348603308</v>
      </c>
      <c r="F57" s="237">
        <v>74868.914999999572</v>
      </c>
      <c r="G57" s="140">
        <f t="shared" si="6"/>
        <v>393831.5384860335</v>
      </c>
      <c r="H57" s="138">
        <v>67419</v>
      </c>
      <c r="I57" s="234">
        <v>5667.2</v>
      </c>
      <c r="J57" s="34">
        <f t="shared" si="7"/>
        <v>5.8415511723109734</v>
      </c>
      <c r="K57" s="55">
        <f t="shared" si="8"/>
        <v>0.52912601198468967</v>
      </c>
      <c r="L57" s="79">
        <f t="shared" si="3"/>
        <v>11.9</v>
      </c>
      <c r="M57" s="48"/>
    </row>
    <row r="58" spans="1:13" ht="15.75" x14ac:dyDescent="0.25">
      <c r="A58" s="137" t="s">
        <v>21</v>
      </c>
      <c r="B58" s="236">
        <v>716</v>
      </c>
      <c r="C58" s="137" t="s">
        <v>20</v>
      </c>
      <c r="D58" s="137" t="s">
        <v>7</v>
      </c>
      <c r="E58" s="237">
        <v>203313.99306647081</v>
      </c>
      <c r="F58" s="237">
        <v>43236.195999999836</v>
      </c>
      <c r="G58" s="140">
        <f t="shared" si="6"/>
        <v>160077.79706647096</v>
      </c>
      <c r="H58" s="138">
        <v>34751</v>
      </c>
      <c r="I58" s="234">
        <v>3036</v>
      </c>
      <c r="J58" s="34">
        <f t="shared" si="7"/>
        <v>4.6064227523372265</v>
      </c>
      <c r="K58" s="55">
        <f t="shared" si="8"/>
        <v>0.41724843771170533</v>
      </c>
      <c r="L58" s="79">
        <f t="shared" si="3"/>
        <v>11.4</v>
      </c>
      <c r="M58" s="48"/>
    </row>
    <row r="59" spans="1:13" ht="15.75" x14ac:dyDescent="0.25">
      <c r="A59" s="137" t="s">
        <v>21</v>
      </c>
      <c r="B59" s="236">
        <v>717</v>
      </c>
      <c r="C59" s="137" t="s">
        <v>20</v>
      </c>
      <c r="D59" s="137" t="s">
        <v>7</v>
      </c>
      <c r="E59" s="237">
        <v>217903.05880866692</v>
      </c>
      <c r="F59" s="237">
        <v>59300.00099999964</v>
      </c>
      <c r="G59" s="140">
        <f t="shared" si="6"/>
        <v>158603.05780866728</v>
      </c>
      <c r="H59" s="138">
        <v>59814</v>
      </c>
      <c r="I59" s="234">
        <v>3440.8</v>
      </c>
      <c r="J59" s="34">
        <f t="shared" si="7"/>
        <v>2.6516042700482707</v>
      </c>
      <c r="K59" s="55">
        <f t="shared" si="8"/>
        <v>0.24018154620002455</v>
      </c>
      <c r="L59" s="79">
        <f t="shared" si="3"/>
        <v>17.399999999999999</v>
      </c>
      <c r="M59" s="48"/>
    </row>
    <row r="60" spans="1:13" ht="15.75" x14ac:dyDescent="0.25">
      <c r="A60" s="137" t="s">
        <v>21</v>
      </c>
      <c r="B60" s="236">
        <v>801</v>
      </c>
      <c r="C60" s="137" t="s">
        <v>20</v>
      </c>
      <c r="D60" s="137" t="s">
        <v>7</v>
      </c>
      <c r="E60" s="237">
        <v>432159.23539605504</v>
      </c>
      <c r="F60" s="237">
        <v>78426.598999999464</v>
      </c>
      <c r="G60" s="140">
        <f t="shared" si="6"/>
        <v>353732.63639605558</v>
      </c>
      <c r="H60" s="138">
        <v>71127</v>
      </c>
      <c r="I60" s="234">
        <v>4440.1499999999996</v>
      </c>
      <c r="J60" s="34">
        <f t="shared" si="7"/>
        <v>4.9732539878816144</v>
      </c>
      <c r="K60" s="55">
        <f t="shared" si="8"/>
        <v>0.45047590469942161</v>
      </c>
      <c r="L60" s="79">
        <f t="shared" si="3"/>
        <v>16</v>
      </c>
      <c r="M60" s="48"/>
    </row>
    <row r="61" spans="1:13" ht="15.75" x14ac:dyDescent="0.25">
      <c r="A61" s="137" t="s">
        <v>21</v>
      </c>
      <c r="B61" s="236">
        <v>805</v>
      </c>
      <c r="C61" s="137" t="s">
        <v>20</v>
      </c>
      <c r="D61" s="137" t="s">
        <v>7</v>
      </c>
      <c r="E61" s="237">
        <v>550607.08847054362</v>
      </c>
      <c r="F61" s="237">
        <v>94726.23799999959</v>
      </c>
      <c r="G61" s="140">
        <f t="shared" si="6"/>
        <v>455880.85047054401</v>
      </c>
      <c r="H61" s="138">
        <v>67708</v>
      </c>
      <c r="I61" s="234">
        <v>6013.0510000000004</v>
      </c>
      <c r="J61" s="34">
        <f t="shared" si="7"/>
        <v>6.7330426311594493</v>
      </c>
      <c r="K61" s="55">
        <f t="shared" si="8"/>
        <v>0.60987704992386316</v>
      </c>
      <c r="L61" s="79">
        <f t="shared" si="3"/>
        <v>11.3</v>
      </c>
      <c r="M61" s="48"/>
    </row>
    <row r="62" spans="1:13" ht="15.75" x14ac:dyDescent="0.25">
      <c r="A62" s="137" t="s">
        <v>21</v>
      </c>
      <c r="B62" s="236">
        <v>831</v>
      </c>
      <c r="C62" s="137" t="s">
        <v>20</v>
      </c>
      <c r="D62" s="137" t="s">
        <v>7</v>
      </c>
      <c r="E62" s="237">
        <v>254966.95214362995</v>
      </c>
      <c r="F62" s="237">
        <v>23037.654000000031</v>
      </c>
      <c r="G62" s="140">
        <f t="shared" si="6"/>
        <v>231929.29814362992</v>
      </c>
      <c r="H62" s="138">
        <v>22388</v>
      </c>
      <c r="I62" s="234">
        <v>2635.5009999999997</v>
      </c>
      <c r="J62" s="34">
        <f t="shared" si="7"/>
        <v>10.359536275845539</v>
      </c>
      <c r="K62" s="55">
        <f t="shared" si="8"/>
        <v>0.93836379310195106</v>
      </c>
      <c r="L62" s="79">
        <f t="shared" si="3"/>
        <v>8.5</v>
      </c>
      <c r="M62" s="48"/>
    </row>
    <row r="63" spans="1:13" ht="15.75" x14ac:dyDescent="0.25">
      <c r="A63" s="137" t="s">
        <v>18</v>
      </c>
      <c r="B63" s="236">
        <v>415</v>
      </c>
      <c r="C63" s="137" t="s">
        <v>20</v>
      </c>
      <c r="D63" s="137" t="s">
        <v>7</v>
      </c>
      <c r="E63" s="237">
        <v>62904.573457015409</v>
      </c>
      <c r="F63" s="237">
        <v>2070.9583820097164</v>
      </c>
      <c r="G63" s="140">
        <v>60833.615075005691</v>
      </c>
      <c r="H63" s="138">
        <v>3053.7509850093943</v>
      </c>
      <c r="I63" s="234">
        <v>270.70999999999873</v>
      </c>
      <c r="J63" s="34">
        <f t="shared" si="7"/>
        <v>19.920948162974902</v>
      </c>
      <c r="K63" s="55">
        <f t="shared" si="8"/>
        <v>1.8044337104143935</v>
      </c>
      <c r="L63" s="79">
        <f t="shared" si="3"/>
        <v>11.3</v>
      </c>
      <c r="M63" s="48"/>
    </row>
    <row r="64" spans="1:13" ht="15.75" x14ac:dyDescent="0.25">
      <c r="A64" s="137" t="s">
        <v>18</v>
      </c>
      <c r="B64" s="236">
        <v>515</v>
      </c>
      <c r="C64" s="137" t="s">
        <v>20</v>
      </c>
      <c r="D64" s="137" t="s">
        <v>7</v>
      </c>
      <c r="E64" s="237">
        <v>3276392.6293363599</v>
      </c>
      <c r="F64" s="237">
        <v>334540.14240893041</v>
      </c>
      <c r="G64" s="140">
        <v>2941852.4869274297</v>
      </c>
      <c r="H64" s="138">
        <v>375224.46588529664</v>
      </c>
      <c r="I64" s="234">
        <v>15885.500000000018</v>
      </c>
      <c r="J64" s="34">
        <f t="shared" si="7"/>
        <v>7.840246983859342</v>
      </c>
      <c r="K64" s="55">
        <f t="shared" si="8"/>
        <v>0.71016729926262157</v>
      </c>
      <c r="L64" s="79">
        <f t="shared" si="3"/>
        <v>23.6</v>
      </c>
      <c r="M64" s="48"/>
    </row>
    <row r="65" spans="1:13" ht="15.75" x14ac:dyDescent="0.25">
      <c r="A65" s="137" t="s">
        <v>18</v>
      </c>
      <c r="B65" s="236">
        <v>612</v>
      </c>
      <c r="C65" s="137" t="s">
        <v>20</v>
      </c>
      <c r="D65" s="137" t="s">
        <v>7</v>
      </c>
      <c r="E65" s="237">
        <v>1262192.1476565928</v>
      </c>
      <c r="F65" s="237">
        <v>127212.69631488824</v>
      </c>
      <c r="G65" s="140">
        <v>1134979.4513417045</v>
      </c>
      <c r="H65" s="138">
        <v>155729.89016046718</v>
      </c>
      <c r="I65" s="234">
        <v>6791.3100000000031</v>
      </c>
      <c r="J65" s="34">
        <f t="shared" si="7"/>
        <v>7.2881285036045362</v>
      </c>
      <c r="K65" s="55">
        <f t="shared" si="8"/>
        <v>0.66015656735548345</v>
      </c>
      <c r="L65" s="79">
        <f t="shared" si="3"/>
        <v>22.9</v>
      </c>
      <c r="M65" s="48"/>
    </row>
    <row r="66" spans="1:13" ht="15.75" x14ac:dyDescent="0.25">
      <c r="A66" s="137" t="s">
        <v>18</v>
      </c>
      <c r="B66" s="236">
        <v>721</v>
      </c>
      <c r="C66" s="137" t="s">
        <v>20</v>
      </c>
      <c r="D66" s="137" t="s">
        <v>7</v>
      </c>
      <c r="E66" s="237">
        <v>1306906.3202372193</v>
      </c>
      <c r="F66" s="237">
        <v>246663.04028816606</v>
      </c>
      <c r="G66" s="140">
        <v>1060243.2799490532</v>
      </c>
      <c r="H66" s="138">
        <v>235077.62635247756</v>
      </c>
      <c r="I66" s="234">
        <v>7104.1400000000185</v>
      </c>
      <c r="J66" s="34">
        <f t="shared" si="7"/>
        <v>4.5101837056977709</v>
      </c>
      <c r="K66" s="55">
        <f t="shared" si="8"/>
        <v>0.40853113276247927</v>
      </c>
      <c r="L66" s="79">
        <f t="shared" si="3"/>
        <v>33.1</v>
      </c>
      <c r="M66" s="48"/>
    </row>
    <row r="67" spans="1:13" s="139" customFormat="1" ht="15.75" x14ac:dyDescent="0.25">
      <c r="A67" s="137" t="s">
        <v>18</v>
      </c>
      <c r="B67" s="236">
        <v>722</v>
      </c>
      <c r="C67" s="137" t="s">
        <v>20</v>
      </c>
      <c r="D67" s="137" t="s">
        <v>7</v>
      </c>
      <c r="E67" s="237">
        <v>1284733.5032028321</v>
      </c>
      <c r="F67" s="237">
        <v>170984.02216413134</v>
      </c>
      <c r="G67" s="140">
        <v>1113749.4810387008</v>
      </c>
      <c r="H67" s="138">
        <v>203074.44050312473</v>
      </c>
      <c r="I67" s="234">
        <v>6675.0599999999704</v>
      </c>
      <c r="J67" s="34">
        <f t="shared" ref="J67:J73" si="9">+G67/H67</f>
        <v>5.4844394906584188</v>
      </c>
      <c r="K67" s="55">
        <f t="shared" ref="K67:K73" si="10">+IF(D67="Weekday",J67/$J$84,IF(D67="Saturday",J67/$J$85,IF(D67="Sunday",J67/$J$86,"NA")))</f>
        <v>0.49677893937123363</v>
      </c>
      <c r="L67" s="79">
        <f t="shared" si="3"/>
        <v>30.4</v>
      </c>
      <c r="M67" s="48"/>
    </row>
    <row r="68" spans="1:13" s="139" customFormat="1" ht="15.75" x14ac:dyDescent="0.25">
      <c r="A68" s="137" t="s">
        <v>18</v>
      </c>
      <c r="B68" s="236">
        <v>723</v>
      </c>
      <c r="C68" s="137" t="s">
        <v>20</v>
      </c>
      <c r="D68" s="137" t="s">
        <v>7</v>
      </c>
      <c r="E68" s="237">
        <v>1077782.6270695706</v>
      </c>
      <c r="F68" s="237">
        <v>141727.708051739</v>
      </c>
      <c r="G68" s="140">
        <v>936054.91901783156</v>
      </c>
      <c r="H68" s="138">
        <v>163730.42730291878</v>
      </c>
      <c r="I68" s="234">
        <v>5508.059999999974</v>
      </c>
      <c r="J68" s="34">
        <f t="shared" si="9"/>
        <v>5.7170492646796189</v>
      </c>
      <c r="K68" s="55">
        <f t="shared" si="10"/>
        <v>0.51784866527895101</v>
      </c>
      <c r="L68" s="79">
        <f t="shared" si="3"/>
        <v>29.7</v>
      </c>
      <c r="M68" s="48"/>
    </row>
    <row r="69" spans="1:13" s="139" customFormat="1" ht="15.75" x14ac:dyDescent="0.25">
      <c r="A69" s="137" t="s">
        <v>18</v>
      </c>
      <c r="B69" s="236">
        <v>724</v>
      </c>
      <c r="C69" s="137" t="s">
        <v>20</v>
      </c>
      <c r="D69" s="137" t="s">
        <v>7</v>
      </c>
      <c r="E69" s="237">
        <v>2609322.7962907818</v>
      </c>
      <c r="F69" s="237">
        <v>459916.27857387526</v>
      </c>
      <c r="G69" s="140">
        <v>2149406.5177169065</v>
      </c>
      <c r="H69" s="138">
        <v>511737.71516659122</v>
      </c>
      <c r="I69" s="234">
        <v>12672.339999999944</v>
      </c>
      <c r="J69" s="34">
        <f t="shared" si="9"/>
        <v>4.2002112684174318</v>
      </c>
      <c r="K69" s="55">
        <f t="shared" si="10"/>
        <v>0.38045391924070943</v>
      </c>
      <c r="L69" s="79">
        <f t="shared" si="3"/>
        <v>40.4</v>
      </c>
      <c r="M69" s="48"/>
    </row>
    <row r="70" spans="1:13" s="139" customFormat="1" ht="15.75" x14ac:dyDescent="0.25">
      <c r="A70" s="137" t="s">
        <v>18</v>
      </c>
      <c r="B70" s="236">
        <v>515</v>
      </c>
      <c r="C70" s="137" t="s">
        <v>20</v>
      </c>
      <c r="D70" s="137" t="s">
        <v>8</v>
      </c>
      <c r="E70" s="237">
        <v>530696.83222072537</v>
      </c>
      <c r="F70" s="237">
        <v>48523.575608199986</v>
      </c>
      <c r="G70" s="140">
        <v>482173.25661252538</v>
      </c>
      <c r="H70" s="138">
        <v>59413.297866633176</v>
      </c>
      <c r="I70" s="234">
        <v>2563.3500000000026</v>
      </c>
      <c r="J70" s="34">
        <f t="shared" si="9"/>
        <v>8.1155780595595655</v>
      </c>
      <c r="K70" s="55">
        <f t="shared" si="10"/>
        <v>0.70816562474341749</v>
      </c>
      <c r="L70" s="79">
        <f t="shared" si="3"/>
        <v>23.2</v>
      </c>
      <c r="M70" s="48"/>
    </row>
    <row r="71" spans="1:13" s="139" customFormat="1" ht="15.75" x14ac:dyDescent="0.25">
      <c r="A71" s="137" t="s">
        <v>18</v>
      </c>
      <c r="B71" s="236">
        <v>612</v>
      </c>
      <c r="C71" s="137" t="s">
        <v>20</v>
      </c>
      <c r="D71" s="137" t="s">
        <v>8</v>
      </c>
      <c r="E71" s="237">
        <v>385687.92895379913</v>
      </c>
      <c r="F71" s="237">
        <v>29806.976781114674</v>
      </c>
      <c r="G71" s="140">
        <v>355880.95217268448</v>
      </c>
      <c r="H71" s="138">
        <v>37756.975494002021</v>
      </c>
      <c r="I71" s="234">
        <v>2026.9600000000007</v>
      </c>
      <c r="J71" s="34">
        <f t="shared" si="9"/>
        <v>9.4255683225797267</v>
      </c>
      <c r="K71" s="55">
        <f t="shared" si="10"/>
        <v>0.82247542081847524</v>
      </c>
      <c r="L71" s="79">
        <f t="shared" si="3"/>
        <v>18.600000000000001</v>
      </c>
      <c r="M71" s="48"/>
    </row>
    <row r="72" spans="1:13" s="139" customFormat="1" ht="15.75" x14ac:dyDescent="0.25">
      <c r="A72" s="137" t="s">
        <v>18</v>
      </c>
      <c r="B72" s="236">
        <v>721</v>
      </c>
      <c r="C72" s="137" t="s">
        <v>20</v>
      </c>
      <c r="D72" s="137" t="s">
        <v>8</v>
      </c>
      <c r="E72" s="237">
        <v>165092.87701954329</v>
      </c>
      <c r="F72" s="237">
        <v>16517.577544176445</v>
      </c>
      <c r="G72" s="140">
        <v>148575.29947536683</v>
      </c>
      <c r="H72" s="138">
        <v>22301.510250578118</v>
      </c>
      <c r="I72" s="234">
        <v>858</v>
      </c>
      <c r="J72" s="34">
        <f t="shared" si="9"/>
        <v>6.6621182962940972</v>
      </c>
      <c r="K72" s="55">
        <f t="shared" si="10"/>
        <v>0.58133667506929287</v>
      </c>
      <c r="L72" s="79">
        <f t="shared" si="3"/>
        <v>26</v>
      </c>
      <c r="M72" s="48"/>
    </row>
    <row r="73" spans="1:13" s="139" customFormat="1" ht="15.75" x14ac:dyDescent="0.25">
      <c r="A73" s="137" t="s">
        <v>18</v>
      </c>
      <c r="B73" s="236">
        <v>722</v>
      </c>
      <c r="C73" s="137" t="s">
        <v>20</v>
      </c>
      <c r="D73" s="137" t="s">
        <v>8</v>
      </c>
      <c r="E73" s="237">
        <v>249774.22612506535</v>
      </c>
      <c r="F73" s="237">
        <v>26830.065573507472</v>
      </c>
      <c r="G73" s="140">
        <v>222944.16055155787</v>
      </c>
      <c r="H73" s="138">
        <v>32522.862902168665</v>
      </c>
      <c r="I73" s="234">
        <v>1207.9600000000005</v>
      </c>
      <c r="J73" s="34">
        <f t="shared" si="9"/>
        <v>6.8549980123887453</v>
      </c>
      <c r="K73" s="55">
        <f t="shared" si="10"/>
        <v>0.59816736582798824</v>
      </c>
      <c r="L73" s="79">
        <f t="shared" si="3"/>
        <v>26.9</v>
      </c>
      <c r="M73" s="48"/>
    </row>
    <row r="74" spans="1:13" ht="15.75" x14ac:dyDescent="0.25">
      <c r="A74" s="137" t="s">
        <v>18</v>
      </c>
      <c r="B74" s="236">
        <v>723</v>
      </c>
      <c r="C74" s="137" t="s">
        <v>20</v>
      </c>
      <c r="D74" s="137" t="s">
        <v>8</v>
      </c>
      <c r="E74" s="237">
        <v>92067.245923413837</v>
      </c>
      <c r="F74" s="237">
        <v>13071.664987405511</v>
      </c>
      <c r="G74" s="140">
        <v>78995.580936008322</v>
      </c>
      <c r="H74" s="138">
        <v>15872.45162113239</v>
      </c>
      <c r="I74" s="234">
        <v>466.96000000000032</v>
      </c>
      <c r="J74" s="34">
        <f t="shared" si="7"/>
        <v>4.9768985171033417</v>
      </c>
      <c r="K74" s="55">
        <f t="shared" si="8"/>
        <v>0.43428433831617291</v>
      </c>
      <c r="L74" s="79">
        <f t="shared" si="3"/>
        <v>34</v>
      </c>
      <c r="M74" s="48"/>
    </row>
    <row r="75" spans="1:13" ht="15.75" x14ac:dyDescent="0.25">
      <c r="A75" s="137" t="s">
        <v>18</v>
      </c>
      <c r="B75" s="236">
        <v>724</v>
      </c>
      <c r="C75" s="137" t="s">
        <v>20</v>
      </c>
      <c r="D75" s="137" t="s">
        <v>8</v>
      </c>
      <c r="E75" s="237">
        <v>281713.31372371531</v>
      </c>
      <c r="F75" s="237">
        <v>50763.300717297432</v>
      </c>
      <c r="G75" s="140">
        <v>230950.0130064179</v>
      </c>
      <c r="H75" s="138">
        <v>59207.916516418547</v>
      </c>
      <c r="I75" s="234">
        <v>1252.5600000000006</v>
      </c>
      <c r="J75" s="34">
        <f t="shared" si="7"/>
        <v>3.9006610364743151</v>
      </c>
      <c r="K75" s="55">
        <f t="shared" si="8"/>
        <v>0.34037181819147599</v>
      </c>
      <c r="L75" s="79">
        <f t="shared" si="3"/>
        <v>47.3</v>
      </c>
      <c r="M75" s="48"/>
    </row>
    <row r="76" spans="1:13" ht="15.75" x14ac:dyDescent="0.25">
      <c r="A76" s="137" t="s">
        <v>18</v>
      </c>
      <c r="B76" s="236">
        <v>515</v>
      </c>
      <c r="C76" s="137" t="s">
        <v>20</v>
      </c>
      <c r="D76" s="137" t="s">
        <v>9</v>
      </c>
      <c r="E76" s="237">
        <v>436931.2838266177</v>
      </c>
      <c r="F76" s="237">
        <v>39433.968278366199</v>
      </c>
      <c r="G76" s="140">
        <v>397497.3155482515</v>
      </c>
      <c r="H76" s="138">
        <v>45600.883424926287</v>
      </c>
      <c r="I76" s="234">
        <v>1924.3100000000002</v>
      </c>
      <c r="J76" s="34">
        <f t="shared" si="7"/>
        <v>8.7168775184511471</v>
      </c>
      <c r="K76" s="55">
        <f t="shared" si="8"/>
        <v>0.52228145706717477</v>
      </c>
      <c r="L76" s="79">
        <f t="shared" si="3"/>
        <v>23.7</v>
      </c>
      <c r="M76" s="48"/>
    </row>
    <row r="77" spans="1:13" ht="15.75" x14ac:dyDescent="0.25">
      <c r="A77" s="137" t="s">
        <v>18</v>
      </c>
      <c r="B77" s="236">
        <v>612</v>
      </c>
      <c r="C77" s="137" t="s">
        <v>20</v>
      </c>
      <c r="D77" s="137" t="s">
        <v>9</v>
      </c>
      <c r="E77" s="237">
        <v>278100.81122127653</v>
      </c>
      <c r="F77" s="237">
        <v>22601.316582000418</v>
      </c>
      <c r="G77" s="140">
        <v>255499.49463927612</v>
      </c>
      <c r="H77" s="138">
        <v>26550.207273199885</v>
      </c>
      <c r="I77" s="234">
        <v>1388.5200000000018</v>
      </c>
      <c r="J77" s="34">
        <f t="shared" si="7"/>
        <v>9.6232580036081501</v>
      </c>
      <c r="K77" s="55">
        <f t="shared" si="8"/>
        <v>0.57658825665716895</v>
      </c>
      <c r="L77" s="79">
        <f t="shared" si="3"/>
        <v>19.100000000000001</v>
      </c>
      <c r="M77" s="48"/>
    </row>
    <row r="78" spans="1:13" ht="15.75" x14ac:dyDescent="0.25">
      <c r="A78" s="137" t="s">
        <v>18</v>
      </c>
      <c r="B78" s="236">
        <v>721</v>
      </c>
      <c r="C78" s="137" t="s">
        <v>20</v>
      </c>
      <c r="D78" s="137" t="s">
        <v>9</v>
      </c>
      <c r="E78" s="237">
        <v>189248.65127072236</v>
      </c>
      <c r="F78" s="237">
        <v>16873.911639067486</v>
      </c>
      <c r="G78" s="140">
        <v>172374.73963165487</v>
      </c>
      <c r="H78" s="138">
        <v>21002.836258311891</v>
      </c>
      <c r="I78" s="234">
        <v>957</v>
      </c>
      <c r="J78" s="34">
        <f t="shared" si="7"/>
        <v>8.2072124693843396</v>
      </c>
      <c r="K78" s="55">
        <f t="shared" si="8"/>
        <v>0.49174430613447206</v>
      </c>
      <c r="L78" s="79">
        <f t="shared" si="3"/>
        <v>21.9</v>
      </c>
      <c r="M78" s="48"/>
    </row>
    <row r="79" spans="1:13" ht="15.75" x14ac:dyDescent="0.25">
      <c r="A79" s="137" t="s">
        <v>18</v>
      </c>
      <c r="B79" s="236">
        <v>722</v>
      </c>
      <c r="C79" s="137" t="s">
        <v>20</v>
      </c>
      <c r="D79" s="137" t="s">
        <v>9</v>
      </c>
      <c r="E79" s="237">
        <v>243184.53751003373</v>
      </c>
      <c r="F79" s="237">
        <v>21984.59312537713</v>
      </c>
      <c r="G79" s="140">
        <v>221199.94438465658</v>
      </c>
      <c r="H79" s="138">
        <v>25544.04611305752</v>
      </c>
      <c r="I79" s="234">
        <v>1261.5</v>
      </c>
      <c r="J79" s="34">
        <f t="shared" si="7"/>
        <v>8.6595499947670511</v>
      </c>
      <c r="K79" s="55">
        <f t="shared" si="8"/>
        <v>0.51884661442582691</v>
      </c>
      <c r="L79" s="79">
        <f t="shared" si="3"/>
        <v>20.2</v>
      </c>
      <c r="M79" s="48"/>
    </row>
    <row r="80" spans="1:13" ht="15.75" x14ac:dyDescent="0.25">
      <c r="A80" s="137" t="s">
        <v>18</v>
      </c>
      <c r="B80" s="236">
        <v>723</v>
      </c>
      <c r="C80" s="137" t="s">
        <v>20</v>
      </c>
      <c r="D80" s="137" t="s">
        <v>9</v>
      </c>
      <c r="E80" s="237">
        <v>92178.632563192135</v>
      </c>
      <c r="F80" s="237">
        <v>9907.5961820573011</v>
      </c>
      <c r="G80" s="140">
        <v>82271.036381134836</v>
      </c>
      <c r="H80" s="138">
        <v>11476.460902902154</v>
      </c>
      <c r="I80" s="234">
        <v>473.86000000000024</v>
      </c>
      <c r="J80" s="34">
        <f t="shared" si="7"/>
        <v>7.1686765699981807</v>
      </c>
      <c r="K80" s="55">
        <f t="shared" si="8"/>
        <v>0.42951926722577471</v>
      </c>
      <c r="L80" s="79">
        <f t="shared" si="3"/>
        <v>24.2</v>
      </c>
      <c r="M80" s="48"/>
    </row>
    <row r="81" spans="1:13" ht="16.5" thickBot="1" x14ac:dyDescent="0.3">
      <c r="A81" s="36" t="s">
        <v>18</v>
      </c>
      <c r="B81" s="136">
        <v>724</v>
      </c>
      <c r="C81" s="36" t="s">
        <v>20</v>
      </c>
      <c r="D81" s="36" t="s">
        <v>9</v>
      </c>
      <c r="E81" s="238">
        <v>283997.42741102085</v>
      </c>
      <c r="F81" s="238">
        <v>46363.619071230503</v>
      </c>
      <c r="G81" s="37">
        <v>237633.80833979035</v>
      </c>
      <c r="H81" s="38">
        <v>49609.968872297657</v>
      </c>
      <c r="I81" s="240">
        <v>1235.4400000000003</v>
      </c>
      <c r="J81" s="39">
        <f t="shared" si="7"/>
        <v>4.7900414723397606</v>
      </c>
      <c r="K81" s="56">
        <f t="shared" si="8"/>
        <v>0.28700068737805634</v>
      </c>
      <c r="L81" s="84">
        <f t="shared" si="3"/>
        <v>40.200000000000003</v>
      </c>
      <c r="M81" s="49"/>
    </row>
    <row r="82" spans="1:13" ht="15.75" thickBot="1" x14ac:dyDescent="0.3">
      <c r="G82" s="15"/>
      <c r="H82" s="15"/>
      <c r="I82" s="52"/>
      <c r="J82"/>
    </row>
    <row r="83" spans="1:13" ht="24.75" thickBot="1" x14ac:dyDescent="0.3">
      <c r="A83" s="17" t="s">
        <v>42</v>
      </c>
      <c r="G83" s="105">
        <v>1.6</v>
      </c>
      <c r="H83" s="40">
        <v>1.35</v>
      </c>
      <c r="I83" s="40">
        <v>1.2</v>
      </c>
      <c r="J83" s="106" t="s">
        <v>32</v>
      </c>
    </row>
    <row r="84" spans="1:13" ht="15.75" x14ac:dyDescent="0.25">
      <c r="A84" t="s">
        <v>7</v>
      </c>
      <c r="G84" s="157">
        <f>+$J$84*G83</f>
        <v>17.663999999999998</v>
      </c>
      <c r="H84" s="155">
        <f>+$J$84*H83</f>
        <v>14.904</v>
      </c>
      <c r="I84" s="153">
        <f>+$J$84*I83</f>
        <v>13.247999999999999</v>
      </c>
      <c r="J84" s="102">
        <f>+ROUND(AVERAGEIF($D$4:$D$81,"Weekday",$J$4:$J$81),2)</f>
        <v>11.04</v>
      </c>
    </row>
    <row r="85" spans="1:13" ht="15.75" x14ac:dyDescent="0.25">
      <c r="A85" t="s">
        <v>8</v>
      </c>
      <c r="G85" s="161">
        <f>+$J$85*G83</f>
        <v>18.336000000000002</v>
      </c>
      <c r="H85" s="159">
        <f>+$J$85*H83</f>
        <v>15.471000000000002</v>
      </c>
      <c r="I85" s="160">
        <f>+$J$85*I83</f>
        <v>13.752000000000001</v>
      </c>
      <c r="J85" s="103">
        <f>+ROUND(AVERAGEIF($D$4:$D$81,"Saturday",$J$4:$J$81),2)</f>
        <v>11.46</v>
      </c>
    </row>
    <row r="86" spans="1:13" ht="16.5" thickBot="1" x14ac:dyDescent="0.3">
      <c r="A86" t="s">
        <v>9</v>
      </c>
      <c r="G86" s="158">
        <f>+$J$86*G83</f>
        <v>26.704000000000004</v>
      </c>
      <c r="H86" s="156">
        <f>+$J$86*H83</f>
        <v>22.531500000000005</v>
      </c>
      <c r="I86" s="154">
        <f>+$J$86*I83</f>
        <v>20.028000000000002</v>
      </c>
      <c r="J86" s="104">
        <f>+ROUND(AVERAGEIF($D$4:$D$81,"Sunday",$J$4:$J$81),2)</f>
        <v>16.690000000000001</v>
      </c>
    </row>
    <row r="89" spans="1:13" x14ac:dyDescent="0.25">
      <c r="A89" s="139"/>
      <c r="C89" s="139"/>
      <c r="D89" s="139"/>
    </row>
    <row r="90" spans="1:13" x14ac:dyDescent="0.25">
      <c r="A90" s="139"/>
      <c r="B90" s="268"/>
      <c r="C90" s="269"/>
      <c r="D90" s="43"/>
    </row>
    <row r="91" spans="1:13" x14ac:dyDescent="0.25">
      <c r="A91" s="139"/>
      <c r="B91" s="268"/>
      <c r="C91" s="269"/>
      <c r="D91" s="43"/>
    </row>
    <row r="92" spans="1:13" x14ac:dyDescent="0.25">
      <c r="A92" s="139"/>
      <c r="B92" s="268"/>
      <c r="C92" s="269"/>
      <c r="D92" s="43"/>
    </row>
    <row r="93" spans="1:13" x14ac:dyDescent="0.25">
      <c r="A93" s="139"/>
      <c r="B93" s="268"/>
      <c r="C93" s="269"/>
      <c r="D93" s="43"/>
      <c r="J93" s="58"/>
    </row>
    <row r="94" spans="1:13" x14ac:dyDescent="0.25">
      <c r="J94" s="58"/>
    </row>
    <row r="98" spans="10:10" x14ac:dyDescent="0.25">
      <c r="J98" s="58"/>
    </row>
    <row r="99" spans="10:10" x14ac:dyDescent="0.25">
      <c r="J99" s="58"/>
    </row>
    <row r="100" spans="10:10" x14ac:dyDescent="0.25">
      <c r="J100" s="58"/>
    </row>
  </sheetData>
  <sortState xmlns:xlrd2="http://schemas.microsoft.com/office/spreadsheetml/2017/richdata2" ref="A4:M81">
    <sortCondition ref="D4:D81" customList="Weekday,Saturday,Sunday,Sunday/Holiday,Reduced"/>
    <sortCondition ref="B4:B81"/>
  </sortState>
  <mergeCells count="1">
    <mergeCell ref="A2:N2"/>
  </mergeCells>
  <conditionalFormatting sqref="K4:K81">
    <cfRule type="cellIs" dxfId="27" priority="8" stopIfTrue="1" operator="greaterThan">
      <formula>1.6</formula>
    </cfRule>
    <cfRule type="cellIs" dxfId="26" priority="9" stopIfTrue="1" operator="greaterThan">
      <formula>1.35</formula>
    </cfRule>
    <cfRule type="cellIs" dxfId="25" priority="10" stopIfTrue="1" operator="greaterThan">
      <formula>1.2</formula>
    </cfRule>
  </conditionalFormatting>
  <conditionalFormatting sqref="L4:L81">
    <cfRule type="cellIs" dxfId="24" priority="4" operator="lessThan">
      <formula>10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78BDB9C-1297-4DBE-B492-DBA5CB32AD14}">
            <xm:f>(ROW('u:\MTS\Working\ContractServices\Route Analyses and Profiles\2016 Route Analysis\[2016 Metro Transit Cost Allocation Calculations.xlsx]Bus Sun'!#REF!)-1)/3=ROUND((ROW('u:\MTS\Working\ContractServices\Route Analyses and Profiles\2016 Route Analysis\[2016 Metro Transit Cost Allocation Calculations.xlsx]Bus Sun'!#REF!)-1)/3,0)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A4:A5</xm:sqref>
        </x14:conditionalFormatting>
        <x14:conditionalFormatting xmlns:xm="http://schemas.microsoft.com/office/excel/2006/main">
          <x14:cfRule type="expression" priority="1" id="{0E4F5984-4514-4925-BD88-279484447F8B}">
            <xm:f>(ROW('u:\MTS\Working\ContractServices\Route Analyses and Profiles\2016 Route Analysis\[2016 Metro Transit Cost Allocation Calculations.xlsx]Bus Sun'!#REF!)-1)/3=ROUND((ROW('u:\MTS\Working\ContractServices\Route Analyses and Profiles\2016 Route Analysis\[2016 Metro Transit Cost Allocation Calculations.xlsx]Bus Sun'!#REF!)-1)/3,0)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A6:A81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24"/>
  <sheetViews>
    <sheetView workbookViewId="0">
      <selection activeCell="G16" sqref="G16"/>
    </sheetView>
  </sheetViews>
  <sheetFormatPr defaultRowHeight="15" x14ac:dyDescent="0.25"/>
  <cols>
    <col min="1" max="1" width="29.7109375" style="139" bestFit="1" customWidth="1"/>
    <col min="2" max="2" width="15.42578125" style="12" bestFit="1" customWidth="1"/>
    <col min="3" max="3" width="13.5703125" style="139" bestFit="1" customWidth="1"/>
    <col min="4" max="4" width="12.5703125" style="139" bestFit="1" customWidth="1"/>
    <col min="5" max="6" width="14.28515625" style="139" bestFit="1" customWidth="1"/>
    <col min="7" max="7" width="15.85546875" style="10" bestFit="1" customWidth="1"/>
    <col min="8" max="8" width="14.5703125" style="139" bestFit="1" customWidth="1"/>
    <col min="9" max="9" width="16.140625" style="139" bestFit="1" customWidth="1"/>
    <col min="10" max="10" width="10.5703125" style="139" bestFit="1" customWidth="1"/>
    <col min="11" max="11" width="10.5703125" style="13" customWidth="1"/>
    <col min="12" max="12" width="10.85546875" style="13" bestFit="1" customWidth="1"/>
    <col min="13" max="13" width="13.7109375" style="139" customWidth="1"/>
    <col min="14" max="17" width="9.140625" style="139"/>
    <col min="18" max="19" width="12.7109375" style="139" bestFit="1" customWidth="1"/>
    <col min="20" max="16384" width="9.140625" style="139"/>
  </cols>
  <sheetData>
    <row r="1" spans="1:14" ht="18.75" x14ac:dyDescent="0.3">
      <c r="A1" s="16" t="s">
        <v>39</v>
      </c>
      <c r="B1" s="139"/>
      <c r="G1" s="139"/>
      <c r="J1" s="4"/>
      <c r="K1" s="4"/>
      <c r="L1" s="4"/>
      <c r="M1" s="141"/>
    </row>
    <row r="2" spans="1:14" ht="47.25" thickBot="1" x14ac:dyDescent="0.75">
      <c r="A2" s="273" t="s">
        <v>101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72.75" thickBot="1" x14ac:dyDescent="0.3">
      <c r="A3" s="17" t="s">
        <v>10</v>
      </c>
      <c r="B3" s="18" t="s">
        <v>26</v>
      </c>
      <c r="C3" s="19" t="s">
        <v>27</v>
      </c>
      <c r="D3" s="19" t="s">
        <v>1</v>
      </c>
      <c r="E3" s="20" t="s">
        <v>2</v>
      </c>
      <c r="F3" s="20" t="s">
        <v>28</v>
      </c>
      <c r="G3" s="20" t="s">
        <v>29</v>
      </c>
      <c r="H3" s="21" t="s">
        <v>30</v>
      </c>
      <c r="I3" s="21" t="s">
        <v>31</v>
      </c>
      <c r="J3" s="22" t="s">
        <v>32</v>
      </c>
      <c r="K3" s="40" t="s">
        <v>33</v>
      </c>
      <c r="L3" s="82" t="s">
        <v>44</v>
      </c>
      <c r="M3" s="24" t="s">
        <v>34</v>
      </c>
    </row>
    <row r="4" spans="1:14" ht="15.75" x14ac:dyDescent="0.25">
      <c r="A4" s="137" t="s">
        <v>18</v>
      </c>
      <c r="B4" s="236">
        <v>921</v>
      </c>
      <c r="C4" s="137" t="s">
        <v>144</v>
      </c>
      <c r="D4" s="137" t="s">
        <v>7</v>
      </c>
      <c r="E4" s="237">
        <v>5888698.1123145726</v>
      </c>
      <c r="F4" s="237">
        <v>1406324.1759258409</v>
      </c>
      <c r="G4" s="237">
        <v>4482373.9363887319</v>
      </c>
      <c r="H4" s="138">
        <v>1232476</v>
      </c>
      <c r="I4" s="235">
        <v>27165.830000000129</v>
      </c>
      <c r="J4" s="34">
        <f>+G4/H4</f>
        <v>3.6368853725254948</v>
      </c>
      <c r="K4" s="89"/>
      <c r="L4" s="77">
        <f>ROUND(H4/I4,1)</f>
        <v>45.4</v>
      </c>
      <c r="M4" s="48"/>
    </row>
    <row r="5" spans="1:14" ht="15.75" x14ac:dyDescent="0.25">
      <c r="A5" s="137" t="s">
        <v>18</v>
      </c>
      <c r="B5" s="236">
        <v>921</v>
      </c>
      <c r="C5" s="137" t="s">
        <v>144</v>
      </c>
      <c r="D5" s="137" t="s">
        <v>8</v>
      </c>
      <c r="E5" s="237">
        <v>1141729.5594519179</v>
      </c>
      <c r="F5" s="237">
        <v>192557.91646902473</v>
      </c>
      <c r="G5" s="237">
        <v>949171.64298289316</v>
      </c>
      <c r="H5" s="138">
        <v>207630</v>
      </c>
      <c r="I5" s="235">
        <v>5219.9999999999982</v>
      </c>
      <c r="J5" s="34">
        <f>+G5/H5</f>
        <v>4.5714571255738248</v>
      </c>
      <c r="K5" s="89"/>
      <c r="L5" s="77">
        <f>ROUND(H5/I5,1)</f>
        <v>39.799999999999997</v>
      </c>
      <c r="M5" s="48"/>
    </row>
    <row r="6" spans="1:14" ht="16.5" thickBot="1" x14ac:dyDescent="0.3">
      <c r="A6" s="36" t="s">
        <v>18</v>
      </c>
      <c r="B6" s="136">
        <v>921</v>
      </c>
      <c r="C6" s="36" t="s">
        <v>144</v>
      </c>
      <c r="D6" s="36" t="s">
        <v>9</v>
      </c>
      <c r="E6" s="238">
        <v>1188012.7709953506</v>
      </c>
      <c r="F6" s="238">
        <v>156754.95725462338</v>
      </c>
      <c r="G6" s="238">
        <v>1031257.8137407271</v>
      </c>
      <c r="H6" s="38">
        <v>178097</v>
      </c>
      <c r="I6" s="239">
        <v>5336.5800000000072</v>
      </c>
      <c r="J6" s="39">
        <f>+G6/H6</f>
        <v>5.7904277654352807</v>
      </c>
      <c r="K6" s="90"/>
      <c r="L6" s="78">
        <f>ROUND(H6/I6,1)</f>
        <v>33.4</v>
      </c>
      <c r="M6" s="49"/>
    </row>
    <row r="7" spans="1:14" ht="15.75" thickBot="1" x14ac:dyDescent="0.3">
      <c r="G7" s="15"/>
      <c r="H7" s="15"/>
      <c r="I7" s="52"/>
      <c r="J7" s="13"/>
      <c r="K7" s="139"/>
      <c r="L7" s="139"/>
    </row>
    <row r="8" spans="1:14" ht="24.75" thickBot="1" x14ac:dyDescent="0.3">
      <c r="A8" s="17" t="s">
        <v>42</v>
      </c>
      <c r="F8" s="10"/>
      <c r="G8" s="105">
        <v>1.6</v>
      </c>
      <c r="H8" s="40">
        <v>1.35</v>
      </c>
      <c r="I8" s="40">
        <v>1.2</v>
      </c>
      <c r="J8" s="106" t="s">
        <v>32</v>
      </c>
      <c r="K8" s="139"/>
      <c r="L8" s="139"/>
    </row>
    <row r="9" spans="1:14" ht="15.75" x14ac:dyDescent="0.25">
      <c r="A9" s="139" t="s">
        <v>7</v>
      </c>
      <c r="F9" s="10"/>
      <c r="G9" s="157">
        <f>+$J$9*G8</f>
        <v>5.8240000000000007</v>
      </c>
      <c r="H9" s="155">
        <f>+$J$9*H8</f>
        <v>4.9140000000000006</v>
      </c>
      <c r="I9" s="153">
        <f>+$J$9*I8</f>
        <v>4.3680000000000003</v>
      </c>
      <c r="J9" s="102">
        <f>+ROUND(AVERAGEIF($D$4:$D$6,"Weekday",$J$4:$J6),2)</f>
        <v>3.64</v>
      </c>
      <c r="K9" s="139"/>
      <c r="L9" s="139"/>
    </row>
    <row r="10" spans="1:14" ht="15.75" x14ac:dyDescent="0.25">
      <c r="A10" s="139" t="s">
        <v>8</v>
      </c>
      <c r="F10" s="10"/>
      <c r="G10" s="161">
        <f>+$J$10*G8</f>
        <v>7.3120000000000012</v>
      </c>
      <c r="H10" s="159">
        <f>+$J$10*H8</f>
        <v>6.1695000000000011</v>
      </c>
      <c r="I10" s="160">
        <f>+$J$10*I8</f>
        <v>5.484</v>
      </c>
      <c r="J10" s="103">
        <f>+ROUND(AVERAGEIF($D$4:$D$6,"Saturday",$J$4:$J6),2)</f>
        <v>4.57</v>
      </c>
    </row>
    <row r="11" spans="1:14" ht="16.5" thickBot="1" x14ac:dyDescent="0.3">
      <c r="A11" s="139" t="s">
        <v>9</v>
      </c>
      <c r="F11" s="10"/>
      <c r="G11" s="158">
        <f>+$J$11*G8</f>
        <v>9.2640000000000011</v>
      </c>
      <c r="H11" s="156">
        <f>+$J$11*H8</f>
        <v>7.8165000000000004</v>
      </c>
      <c r="I11" s="154">
        <f>+$J$11*I8</f>
        <v>6.9479999999999995</v>
      </c>
      <c r="J11" s="104">
        <f>+ROUND(AVERAGEIF($D$4:$D$6,"Sunday",$J$4:$J6),2)</f>
        <v>5.79</v>
      </c>
    </row>
    <row r="14" spans="1:14" x14ac:dyDescent="0.25">
      <c r="B14" s="267"/>
    </row>
    <row r="24" spans="7:7" x14ac:dyDescent="0.25">
      <c r="G24" s="270"/>
    </row>
  </sheetData>
  <mergeCells count="1">
    <mergeCell ref="A2:N2"/>
  </mergeCells>
  <conditionalFormatting sqref="K4:K6">
    <cfRule type="cellIs" dxfId="21" priority="3" stopIfTrue="1" operator="greaterThan">
      <formula>1.6</formula>
    </cfRule>
    <cfRule type="cellIs" dxfId="20" priority="4" stopIfTrue="1" operator="greaterThan">
      <formula>1.36</formula>
    </cfRule>
    <cfRule type="cellIs" dxfId="19" priority="5" stopIfTrue="1" operator="greaterThan">
      <formula>1.2</formula>
    </cfRule>
  </conditionalFormatting>
  <conditionalFormatting sqref="L4:L6">
    <cfRule type="cellIs" dxfId="18" priority="2" operator="lessThan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16"/>
  <sheetViews>
    <sheetView workbookViewId="0">
      <selection activeCell="M1" sqref="M1:M1048576"/>
    </sheetView>
  </sheetViews>
  <sheetFormatPr defaultRowHeight="15" x14ac:dyDescent="0.25"/>
  <cols>
    <col min="1" max="1" width="29.7109375" bestFit="1" customWidth="1"/>
    <col min="2" max="2" width="15.42578125" style="12" bestFit="1" customWidth="1"/>
    <col min="3" max="3" width="14.7109375" bestFit="1" customWidth="1"/>
    <col min="4" max="4" width="12.5703125" bestFit="1" customWidth="1"/>
    <col min="5" max="6" width="14.28515625" bestFit="1" customWidth="1"/>
    <col min="7" max="7" width="15.85546875" style="10" bestFit="1" customWidth="1"/>
    <col min="8" max="8" width="14" bestFit="1" customWidth="1"/>
    <col min="9" max="9" width="16.140625" bestFit="1" customWidth="1"/>
    <col min="10" max="10" width="10.5703125" bestFit="1" customWidth="1"/>
    <col min="11" max="11" width="10.5703125" style="13" customWidth="1"/>
    <col min="12" max="12" width="10.85546875" style="13" bestFit="1" customWidth="1"/>
    <col min="13" max="13" width="13.7109375" customWidth="1"/>
    <col min="18" max="19" width="12.7109375" bestFit="1" customWidth="1"/>
  </cols>
  <sheetData>
    <row r="1" spans="1:14" ht="18.75" x14ac:dyDescent="0.3">
      <c r="A1" s="16" t="s">
        <v>40</v>
      </c>
      <c r="B1"/>
      <c r="G1"/>
      <c r="J1" s="4"/>
      <c r="K1" s="4"/>
      <c r="L1" s="4"/>
      <c r="M1" s="141"/>
    </row>
    <row r="2" spans="1:14" ht="47.25" thickBot="1" x14ac:dyDescent="0.75">
      <c r="A2" s="273" t="s">
        <v>102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72.75" thickBot="1" x14ac:dyDescent="0.3">
      <c r="A3" s="17" t="s">
        <v>10</v>
      </c>
      <c r="B3" s="18" t="s">
        <v>26</v>
      </c>
      <c r="C3" s="19" t="s">
        <v>27</v>
      </c>
      <c r="D3" s="19" t="s">
        <v>1</v>
      </c>
      <c r="E3" s="20" t="s">
        <v>2</v>
      </c>
      <c r="F3" s="20" t="s">
        <v>28</v>
      </c>
      <c r="G3" s="20" t="s">
        <v>29</v>
      </c>
      <c r="H3" s="21" t="s">
        <v>30</v>
      </c>
      <c r="I3" s="21" t="s">
        <v>31</v>
      </c>
      <c r="J3" s="22" t="s">
        <v>32</v>
      </c>
      <c r="K3" s="40" t="s">
        <v>33</v>
      </c>
      <c r="L3" s="82" t="s">
        <v>44</v>
      </c>
      <c r="M3" s="24" t="s">
        <v>34</v>
      </c>
    </row>
    <row r="4" spans="1:14" ht="15.75" x14ac:dyDescent="0.25">
      <c r="A4" s="26" t="s">
        <v>21</v>
      </c>
      <c r="B4" s="134">
        <v>903</v>
      </c>
      <c r="C4" s="26" t="s">
        <v>43</v>
      </c>
      <c r="D4" s="26" t="s">
        <v>8</v>
      </c>
      <c r="E4" s="242">
        <v>299896</v>
      </c>
      <c r="F4" s="242">
        <v>29050</v>
      </c>
      <c r="G4" s="27">
        <f>+E4-F4</f>
        <v>270846</v>
      </c>
      <c r="H4" s="28">
        <v>34013</v>
      </c>
      <c r="I4" s="263">
        <v>1394.82</v>
      </c>
      <c r="J4" s="34">
        <f>+G4/H4</f>
        <v>7.9630141416517217</v>
      </c>
      <c r="K4" s="89"/>
      <c r="L4" s="77">
        <f>ROUND(H4/I4,1)</f>
        <v>24.4</v>
      </c>
      <c r="M4" s="48"/>
    </row>
    <row r="5" spans="1:14" ht="15.75" x14ac:dyDescent="0.25">
      <c r="A5" s="31" t="s">
        <v>21</v>
      </c>
      <c r="B5" s="135">
        <v>903</v>
      </c>
      <c r="C5" s="31" t="s">
        <v>43</v>
      </c>
      <c r="D5" s="31" t="s">
        <v>9</v>
      </c>
      <c r="E5" s="244">
        <v>322111</v>
      </c>
      <c r="F5" s="244">
        <v>25595</v>
      </c>
      <c r="G5" s="32">
        <f>+E5-F5</f>
        <v>296516</v>
      </c>
      <c r="H5" s="33">
        <v>29968</v>
      </c>
      <c r="I5" s="264">
        <v>1498.14</v>
      </c>
      <c r="J5" s="34">
        <f>+G5/H5</f>
        <v>9.8944207154297921</v>
      </c>
      <c r="K5" s="89"/>
      <c r="L5" s="77">
        <f>ROUND(H5/I5,1)</f>
        <v>20</v>
      </c>
      <c r="M5" s="48"/>
    </row>
    <row r="6" spans="1:14" ht="16.5" thickBot="1" x14ac:dyDescent="0.3">
      <c r="A6" s="36" t="s">
        <v>21</v>
      </c>
      <c r="B6" s="136">
        <v>903</v>
      </c>
      <c r="C6" s="36" t="s">
        <v>43</v>
      </c>
      <c r="D6" s="36" t="s">
        <v>7</v>
      </c>
      <c r="E6" s="238">
        <v>1913846</v>
      </c>
      <c r="F6" s="238">
        <v>162399</v>
      </c>
      <c r="G6" s="37">
        <f>+E6-F6</f>
        <v>1751447</v>
      </c>
      <c r="H6" s="38">
        <v>190144</v>
      </c>
      <c r="I6" s="240">
        <v>9167.0400000000009</v>
      </c>
      <c r="J6" s="39">
        <f>+G6/H6</f>
        <v>9.2111610148098286</v>
      </c>
      <c r="K6" s="90"/>
      <c r="L6" s="78">
        <f>ROUND(H6/I6,1)</f>
        <v>20.7</v>
      </c>
      <c r="M6" s="49"/>
    </row>
    <row r="7" spans="1:14" ht="15.75" thickBot="1" x14ac:dyDescent="0.3">
      <c r="G7" s="15"/>
      <c r="H7" s="15"/>
      <c r="I7" s="52"/>
      <c r="J7" s="13"/>
      <c r="K7"/>
      <c r="L7"/>
    </row>
    <row r="8" spans="1:14" ht="24.75" thickBot="1" x14ac:dyDescent="0.3">
      <c r="A8" s="17" t="s">
        <v>42</v>
      </c>
      <c r="F8" s="10"/>
      <c r="G8" s="105">
        <v>1.6</v>
      </c>
      <c r="H8" s="40">
        <v>1.35</v>
      </c>
      <c r="I8" s="40">
        <v>1.2</v>
      </c>
      <c r="J8" s="106" t="s">
        <v>32</v>
      </c>
      <c r="K8"/>
      <c r="L8"/>
    </row>
    <row r="9" spans="1:14" ht="15.75" x14ac:dyDescent="0.25">
      <c r="A9" t="s">
        <v>7</v>
      </c>
      <c r="F9" s="10"/>
      <c r="G9" s="157">
        <f>+$J$9*G8</f>
        <v>14.736000000000002</v>
      </c>
      <c r="H9" s="155">
        <f>+$J$9*H8</f>
        <v>12.433500000000002</v>
      </c>
      <c r="I9" s="153">
        <f>+$J$9*I8</f>
        <v>11.052000000000001</v>
      </c>
      <c r="J9" s="102">
        <f>+ROUND(AVERAGEIF($D$4:$D$6,"Weekday",$J$4:$J6),2)</f>
        <v>9.2100000000000009</v>
      </c>
      <c r="K9"/>
      <c r="L9"/>
    </row>
    <row r="10" spans="1:14" ht="15.75" x14ac:dyDescent="0.25">
      <c r="A10" t="s">
        <v>8</v>
      </c>
      <c r="F10" s="10"/>
      <c r="G10" s="161">
        <f>+$J$10*G8</f>
        <v>12.736000000000001</v>
      </c>
      <c r="H10" s="159">
        <f>+$J$10*H8</f>
        <v>10.746</v>
      </c>
      <c r="I10" s="160">
        <f>+$J$10*I8</f>
        <v>9.5519999999999996</v>
      </c>
      <c r="J10" s="103">
        <f>+ROUND(AVERAGEIF($D$4:$D$6,"Saturday",$J$4:$J6),2)</f>
        <v>7.96</v>
      </c>
    </row>
    <row r="11" spans="1:14" ht="16.5" thickBot="1" x14ac:dyDescent="0.3">
      <c r="A11" t="s">
        <v>9</v>
      </c>
      <c r="F11" s="10"/>
      <c r="G11" s="158">
        <f>+$J$11*G8</f>
        <v>15.824000000000002</v>
      </c>
      <c r="H11" s="156">
        <f>+$J$11*H8</f>
        <v>13.351500000000001</v>
      </c>
      <c r="I11" s="154">
        <f>+$J$11*I8</f>
        <v>11.868</v>
      </c>
      <c r="J11" s="104">
        <f>+ROUND(AVERAGEIF($D$4:$D$6,"Sunday",$J$4:$J6),2)</f>
        <v>9.89</v>
      </c>
    </row>
    <row r="13" spans="1:14" x14ac:dyDescent="0.25">
      <c r="B13" s="267"/>
    </row>
    <row r="14" spans="1:14" x14ac:dyDescent="0.25">
      <c r="E14" s="211"/>
    </row>
    <row r="15" spans="1:14" x14ac:dyDescent="0.25">
      <c r="E15" s="211"/>
    </row>
    <row r="16" spans="1:14" x14ac:dyDescent="0.25">
      <c r="E16" s="211"/>
    </row>
  </sheetData>
  <mergeCells count="1">
    <mergeCell ref="A2:N2"/>
  </mergeCells>
  <conditionalFormatting sqref="K4:K6">
    <cfRule type="cellIs" dxfId="17" priority="3" stopIfTrue="1" operator="greaterThan">
      <formula>1.6</formula>
    </cfRule>
    <cfRule type="cellIs" dxfId="16" priority="4" stopIfTrue="1" operator="greaterThan">
      <formula>1.36</formula>
    </cfRule>
    <cfRule type="cellIs" dxfId="15" priority="5" stopIfTrue="1" operator="greaterThan">
      <formula>1.2</formula>
    </cfRule>
  </conditionalFormatting>
  <conditionalFormatting sqref="L4:L6">
    <cfRule type="cellIs" dxfId="14" priority="2" operator="lessThan">
      <formula>25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71CD31-0A66-42BA-882E-70F65496C3CA}">
            <xm:f>(ROW('u:\MTS\Working\ContractServices\Route Analyses and Profiles\2016 Route Analysis\[2016 Metro Transit Cost Allocation Calculations.xlsx]Bus Sat'!#REF!)-1)/3=ROUND((ROW('u:\MTS\Working\ContractServices\Route Analyses and Profiles\2016 Route Analysis\[2016 Metro Transit Cost Allocation Calculations.xlsx]Bus Sat'!#REF!)-1)/3,0)</xm:f>
            <x14:dxf>
              <border>
                <bottom style="dotted">
                  <color auto="1"/>
                </bottom>
                <vertical/>
                <horizontal/>
              </border>
            </x14:dxf>
          </x14:cfRule>
          <xm:sqref>A4:A6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Q21"/>
  <sheetViews>
    <sheetView workbookViewId="0">
      <selection activeCell="M1" sqref="M1:M1048576"/>
    </sheetView>
  </sheetViews>
  <sheetFormatPr defaultRowHeight="15" x14ac:dyDescent="0.25"/>
  <cols>
    <col min="1" max="1" width="29.7109375" bestFit="1" customWidth="1"/>
    <col min="2" max="2" width="13.85546875" style="12" bestFit="1" customWidth="1"/>
    <col min="3" max="3" width="14.28515625" bestFit="1" customWidth="1"/>
    <col min="4" max="4" width="12.5703125" bestFit="1" customWidth="1"/>
    <col min="5" max="6" width="15.42578125" bestFit="1" customWidth="1"/>
    <col min="7" max="7" width="16" style="10" bestFit="1" customWidth="1"/>
    <col min="8" max="8" width="15.7109375" bestFit="1" customWidth="1"/>
    <col min="9" max="9" width="16.28515625" bestFit="1" customWidth="1"/>
    <col min="10" max="10" width="15.140625" customWidth="1"/>
    <col min="11" max="11" width="13.42578125" style="13" customWidth="1"/>
    <col min="12" max="12" width="10.85546875" style="13" bestFit="1" customWidth="1"/>
    <col min="13" max="13" width="13.7109375" customWidth="1"/>
    <col min="16" max="16" width="10.5703125" customWidth="1"/>
    <col min="17" max="17" width="11" customWidth="1"/>
    <col min="18" max="19" width="12.7109375" bestFit="1" customWidth="1"/>
  </cols>
  <sheetData>
    <row r="1" spans="1:17" ht="18.75" x14ac:dyDescent="0.3">
      <c r="A1" s="16" t="s">
        <v>41</v>
      </c>
      <c r="B1"/>
      <c r="G1"/>
      <c r="K1"/>
      <c r="L1"/>
      <c r="M1" s="13"/>
    </row>
    <row r="2" spans="1:17" ht="47.25" thickBot="1" x14ac:dyDescent="0.75">
      <c r="A2" s="273" t="s">
        <v>103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7" ht="60.75" thickBot="1" x14ac:dyDescent="0.3">
      <c r="A3" s="59" t="s">
        <v>10</v>
      </c>
      <c r="B3" s="60" t="s">
        <v>26</v>
      </c>
      <c r="C3" s="61" t="s">
        <v>27</v>
      </c>
      <c r="D3" s="61" t="s">
        <v>1</v>
      </c>
      <c r="E3" s="62" t="s">
        <v>2</v>
      </c>
      <c r="F3" s="62" t="s">
        <v>28</v>
      </c>
      <c r="G3" s="62" t="s">
        <v>29</v>
      </c>
      <c r="H3" s="63" t="s">
        <v>30</v>
      </c>
      <c r="I3" s="63" t="s">
        <v>31</v>
      </c>
      <c r="J3" s="64" t="s">
        <v>32</v>
      </c>
      <c r="K3" s="64" t="s">
        <v>33</v>
      </c>
      <c r="L3" s="85" t="s">
        <v>44</v>
      </c>
      <c r="M3" s="66" t="s">
        <v>34</v>
      </c>
      <c r="N3" s="13"/>
      <c r="O3" s="13"/>
      <c r="P3" s="13"/>
      <c r="Q3" s="193"/>
    </row>
    <row r="4" spans="1:17" ht="15.75" x14ac:dyDescent="0.25">
      <c r="A4" s="241" t="s">
        <v>18</v>
      </c>
      <c r="B4" s="134" t="s">
        <v>142</v>
      </c>
      <c r="C4" s="26" t="s">
        <v>22</v>
      </c>
      <c r="D4" s="26" t="s">
        <v>7</v>
      </c>
      <c r="E4" s="242">
        <v>27155242.92455402</v>
      </c>
      <c r="F4" s="242">
        <v>8826846.3091392312</v>
      </c>
      <c r="G4" s="242">
        <f t="shared" ref="G4:G9" si="0">E4-F4</f>
        <v>18328396.615414791</v>
      </c>
      <c r="H4" s="28">
        <v>8328955</v>
      </c>
      <c r="I4" s="246">
        <v>37987.379999999997</v>
      </c>
      <c r="J4" s="74">
        <f>+G4/H4</f>
        <v>2.2005637700545617</v>
      </c>
      <c r="K4" s="57">
        <f>+IF(D4="Weekday",J4/$J$13,IF(D4="Saturday",J4/$J$14,IF(D4="Sunday",J4/$J$15,"NA")))</f>
        <v>1.2293652346673529</v>
      </c>
      <c r="L4" s="86">
        <f>ROUND(H4/I4,1)</f>
        <v>219.3</v>
      </c>
      <c r="M4" s="73"/>
      <c r="N4" s="142"/>
      <c r="O4" s="142"/>
    </row>
    <row r="5" spans="1:17" s="139" customFormat="1" ht="15.75" x14ac:dyDescent="0.25">
      <c r="A5" s="243" t="s">
        <v>18</v>
      </c>
      <c r="B5" s="135" t="s">
        <v>143</v>
      </c>
      <c r="C5" s="31" t="s">
        <v>22</v>
      </c>
      <c r="D5" s="31" t="s">
        <v>7</v>
      </c>
      <c r="E5" s="244">
        <v>26528309.07909501</v>
      </c>
      <c r="F5" s="244">
        <v>11622083.508550052</v>
      </c>
      <c r="G5" s="244">
        <f t="shared" si="0"/>
        <v>14906225.570544958</v>
      </c>
      <c r="H5" s="33">
        <v>10770751</v>
      </c>
      <c r="I5" s="247">
        <v>46062.34</v>
      </c>
      <c r="J5" s="75">
        <f t="shared" ref="J5:J9" si="1">+G5/H5</f>
        <v>1.383954152365509</v>
      </c>
      <c r="K5" s="55">
        <f>+IF(D5="Weekday",J5/$J$13,IF(D5="Saturday",J5/$J$14,IF(D5="Sunday",J5/$J$15,"NA")))</f>
        <v>0.77315874433827314</v>
      </c>
      <c r="L5" s="87">
        <f t="shared" ref="L5:L7" si="2">ROUND(H5/I5,1)</f>
        <v>233.8</v>
      </c>
      <c r="M5" s="50"/>
      <c r="N5" s="142"/>
      <c r="O5" s="142"/>
    </row>
    <row r="6" spans="1:17" s="139" customFormat="1" ht="15.75" x14ac:dyDescent="0.25">
      <c r="A6" s="243" t="s">
        <v>18</v>
      </c>
      <c r="B6" s="135" t="s">
        <v>142</v>
      </c>
      <c r="C6" s="31" t="s">
        <v>22</v>
      </c>
      <c r="D6" s="31" t="s">
        <v>8</v>
      </c>
      <c r="E6" s="244">
        <v>5033693.1533778803</v>
      </c>
      <c r="F6" s="244">
        <v>1545492.381489211</v>
      </c>
      <c r="G6" s="244">
        <f t="shared" si="0"/>
        <v>3488200.7718886696</v>
      </c>
      <c r="H6" s="33">
        <v>1458316.6</v>
      </c>
      <c r="I6" s="247">
        <v>7453.34</v>
      </c>
      <c r="J6" s="75">
        <f t="shared" si="1"/>
        <v>2.3919365464870039</v>
      </c>
      <c r="K6" s="55">
        <f t="shared" ref="K6:K9" si="3">+IF(D6="Weekday",J6/$J$13,IF(D6="Saturday",J6/$J$14,IF(D6="Sunday",J6/$J$15,"NA")))</f>
        <v>1.1667983153595143</v>
      </c>
      <c r="L6" s="87">
        <f t="shared" si="2"/>
        <v>195.7</v>
      </c>
      <c r="M6" s="50"/>
      <c r="N6" s="142"/>
      <c r="O6" s="142"/>
    </row>
    <row r="7" spans="1:17" s="139" customFormat="1" ht="15.75" x14ac:dyDescent="0.25">
      <c r="A7" s="243" t="s">
        <v>18</v>
      </c>
      <c r="B7" s="135" t="s">
        <v>143</v>
      </c>
      <c r="C7" s="31" t="s">
        <v>22</v>
      </c>
      <c r="D7" s="31" t="s">
        <v>8</v>
      </c>
      <c r="E7" s="244">
        <v>4684535.5463040872</v>
      </c>
      <c r="F7" s="244">
        <v>1817329.2997799932</v>
      </c>
      <c r="G7" s="244">
        <f t="shared" si="0"/>
        <v>2867206.2465240937</v>
      </c>
      <c r="H7" s="33">
        <v>1684207.6</v>
      </c>
      <c r="I7" s="247">
        <v>8938.1</v>
      </c>
      <c r="J7" s="75">
        <f t="shared" si="1"/>
        <v>1.7024066668052642</v>
      </c>
      <c r="K7" s="55">
        <f t="shared" si="3"/>
        <v>0.83044227649037283</v>
      </c>
      <c r="L7" s="87">
        <f t="shared" si="2"/>
        <v>188.4</v>
      </c>
      <c r="M7" s="50"/>
      <c r="N7" s="142"/>
      <c r="O7" s="142"/>
    </row>
    <row r="8" spans="1:17" ht="15.75" x14ac:dyDescent="0.25">
      <c r="A8" s="243" t="s">
        <v>18</v>
      </c>
      <c r="B8" s="135" t="s">
        <v>142</v>
      </c>
      <c r="C8" s="31" t="s">
        <v>22</v>
      </c>
      <c r="D8" s="31" t="s">
        <v>9</v>
      </c>
      <c r="E8" s="244">
        <v>4926987.1223446922</v>
      </c>
      <c r="F8" s="244">
        <v>1454166.6167825595</v>
      </c>
      <c r="G8" s="244">
        <f t="shared" si="0"/>
        <v>3472820.5055621327</v>
      </c>
      <c r="H8" s="33">
        <v>1372142.2</v>
      </c>
      <c r="I8" s="247">
        <v>7764.88</v>
      </c>
      <c r="J8" s="75">
        <f t="shared" si="1"/>
        <v>2.5309479626544049</v>
      </c>
      <c r="K8" s="55">
        <f t="shared" si="3"/>
        <v>1.0083458018543447</v>
      </c>
      <c r="L8" s="87">
        <f>ROUND(H8/I8,1)</f>
        <v>176.7</v>
      </c>
      <c r="M8" s="50"/>
      <c r="N8" s="142"/>
      <c r="O8" s="142"/>
      <c r="P8" s="139"/>
      <c r="Q8" s="139"/>
    </row>
    <row r="9" spans="1:17" ht="16.5" thickBot="1" x14ac:dyDescent="0.3">
      <c r="A9" s="245" t="s">
        <v>18</v>
      </c>
      <c r="B9" s="136" t="s">
        <v>143</v>
      </c>
      <c r="C9" s="36" t="s">
        <v>22</v>
      </c>
      <c r="D9" s="36" t="s">
        <v>9</v>
      </c>
      <c r="E9" s="238">
        <v>4794911.7293242998</v>
      </c>
      <c r="F9" s="238">
        <v>1447258.9742589551</v>
      </c>
      <c r="G9" s="238">
        <f t="shared" si="0"/>
        <v>3347652.7550653447</v>
      </c>
      <c r="H9" s="38">
        <v>1341245.3999999999</v>
      </c>
      <c r="I9" s="239">
        <v>9414.69</v>
      </c>
      <c r="J9" s="76">
        <f t="shared" si="1"/>
        <v>2.4959286011831576</v>
      </c>
      <c r="K9" s="56">
        <f t="shared" si="3"/>
        <v>0.99439386501321025</v>
      </c>
      <c r="L9" s="88">
        <f>ROUND(H9/I9,1)</f>
        <v>142.5</v>
      </c>
      <c r="M9" s="72"/>
      <c r="N9" s="142"/>
      <c r="O9" s="142"/>
      <c r="P9" s="139"/>
      <c r="Q9" s="139"/>
    </row>
    <row r="10" spans="1:17" x14ac:dyDescent="0.25">
      <c r="G10"/>
      <c r="J10" s="13"/>
      <c r="K10"/>
      <c r="L10"/>
    </row>
    <row r="11" spans="1:17" ht="15.75" thickBot="1" x14ac:dyDescent="0.3">
      <c r="G11"/>
      <c r="J11" s="13"/>
      <c r="K11"/>
      <c r="L11"/>
    </row>
    <row r="12" spans="1:17" ht="24.75" thickBot="1" x14ac:dyDescent="0.3">
      <c r="A12" s="17" t="s">
        <v>42</v>
      </c>
      <c r="F12" s="10"/>
      <c r="G12" s="105">
        <v>1.601</v>
      </c>
      <c r="H12" s="40">
        <v>1.351</v>
      </c>
      <c r="I12" s="40">
        <v>1.2</v>
      </c>
      <c r="J12" s="106" t="s">
        <v>32</v>
      </c>
      <c r="K12"/>
      <c r="L12"/>
    </row>
    <row r="13" spans="1:17" ht="15.75" x14ac:dyDescent="0.25">
      <c r="A13" t="s">
        <v>7</v>
      </c>
      <c r="F13" s="10"/>
      <c r="G13" s="157">
        <f>+$J$13*G12</f>
        <v>2.8657900000000001</v>
      </c>
      <c r="H13" s="155">
        <f>+$J$13*H12</f>
        <v>2.4182899999999998</v>
      </c>
      <c r="I13" s="153">
        <f>+$J$13*I12</f>
        <v>2.1480000000000001</v>
      </c>
      <c r="J13" s="102">
        <f>+ROUND(AVERAGEIF($D$4:$D$9,"Weekday",$J$4:$J9),2)</f>
        <v>1.79</v>
      </c>
      <c r="K13"/>
      <c r="L13"/>
    </row>
    <row r="14" spans="1:17" ht="15.75" x14ac:dyDescent="0.25">
      <c r="A14" t="s">
        <v>8</v>
      </c>
      <c r="F14" s="10"/>
      <c r="G14" s="161">
        <f t="shared" ref="G14:H14" si="4">+$J$14*G12</f>
        <v>3.2820499999999995</v>
      </c>
      <c r="H14" s="159">
        <f t="shared" si="4"/>
        <v>2.7695499999999997</v>
      </c>
      <c r="I14" s="160">
        <f>+$J$14*I12</f>
        <v>2.4599999999999995</v>
      </c>
      <c r="J14" s="103">
        <f>+ROUND(AVERAGEIF($D$4:$D$9,"Saturday",$J$4:$J9),2)</f>
        <v>2.0499999999999998</v>
      </c>
    </row>
    <row r="15" spans="1:17" ht="16.5" thickBot="1" x14ac:dyDescent="0.3">
      <c r="A15" t="s">
        <v>9</v>
      </c>
      <c r="F15" s="10"/>
      <c r="G15" s="158">
        <f t="shared" ref="G15:H15" si="5">+$J$15*G12</f>
        <v>4.01851</v>
      </c>
      <c r="H15" s="156">
        <f t="shared" si="5"/>
        <v>3.3910099999999996</v>
      </c>
      <c r="I15" s="154">
        <f>+$J$15*I12</f>
        <v>3.0119999999999996</v>
      </c>
      <c r="J15" s="104">
        <f>+ROUND(AVERAGEIF($D$4:$D$9,"Sunday",$J$4:$J9),2)</f>
        <v>2.5099999999999998</v>
      </c>
    </row>
    <row r="18" spans="1:9" x14ac:dyDescent="0.25">
      <c r="A18" s="139"/>
      <c r="B18" s="192"/>
      <c r="C18" s="6"/>
      <c r="D18" s="43"/>
    </row>
    <row r="19" spans="1:9" x14ac:dyDescent="0.25">
      <c r="A19" s="139"/>
      <c r="B19" s="192"/>
      <c r="C19" s="6"/>
      <c r="D19" s="43"/>
      <c r="I19" s="7"/>
    </row>
    <row r="20" spans="1:9" x14ac:dyDescent="0.25">
      <c r="A20" s="139"/>
      <c r="B20" s="192"/>
      <c r="C20" s="6"/>
      <c r="D20" s="43"/>
    </row>
    <row r="21" spans="1:9" x14ac:dyDescent="0.25">
      <c r="B21" s="192"/>
      <c r="C21" s="269"/>
      <c r="D21" s="43"/>
    </row>
  </sheetData>
  <mergeCells count="1">
    <mergeCell ref="A2:N2"/>
  </mergeCells>
  <conditionalFormatting sqref="L4:L9">
    <cfRule type="cellIs" priority="7" operator="greaterThan">
      <formula>70</formula>
    </cfRule>
  </conditionalFormatting>
  <conditionalFormatting sqref="K5:K9">
    <cfRule type="cellIs" dxfId="12" priority="4" stopIfTrue="1" operator="greaterThan">
      <formula>1.6</formula>
    </cfRule>
    <cfRule type="cellIs" dxfId="11" priority="5" stopIfTrue="1" operator="greaterThan">
      <formula>1.35</formula>
    </cfRule>
    <cfRule type="cellIs" dxfId="10" priority="6" stopIfTrue="1" operator="greaterThan">
      <formula>1.2</formula>
    </cfRule>
  </conditionalFormatting>
  <conditionalFormatting sqref="K4">
    <cfRule type="cellIs" dxfId="9" priority="1" stopIfTrue="1" operator="greaterThan">
      <formula>1.6</formula>
    </cfRule>
    <cfRule type="cellIs" dxfId="8" priority="2" stopIfTrue="1" operator="greaterThan">
      <formula>1.35</formula>
    </cfRule>
    <cfRule type="cellIs" dxfId="7" priority="3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14"/>
  <sheetViews>
    <sheetView workbookViewId="0">
      <selection activeCell="M1" sqref="M1:M1048576"/>
    </sheetView>
  </sheetViews>
  <sheetFormatPr defaultRowHeight="15" x14ac:dyDescent="0.25"/>
  <cols>
    <col min="1" max="1" width="29.7109375" bestFit="1" customWidth="1"/>
    <col min="2" max="2" width="6.5703125" style="12" bestFit="1" customWidth="1"/>
    <col min="3" max="3" width="14.85546875" bestFit="1" customWidth="1"/>
    <col min="4" max="4" width="12.5703125" bestFit="1" customWidth="1"/>
    <col min="5" max="6" width="14.28515625" bestFit="1" customWidth="1"/>
    <col min="7" max="7" width="15.85546875" style="10" bestFit="1" customWidth="1"/>
    <col min="8" max="8" width="14" bestFit="1" customWidth="1"/>
    <col min="9" max="9" width="16.140625" bestFit="1" customWidth="1"/>
    <col min="10" max="10" width="15.140625" customWidth="1"/>
    <col min="11" max="11" width="13.42578125" style="13" customWidth="1"/>
    <col min="12" max="12" width="10.85546875" style="13" bestFit="1" customWidth="1"/>
    <col min="13" max="13" width="13.7109375" customWidth="1"/>
    <col min="14" max="14" width="9.5703125" bestFit="1" customWidth="1"/>
    <col min="18" max="19" width="12.7109375" bestFit="1" customWidth="1"/>
  </cols>
  <sheetData>
    <row r="1" spans="1:15" ht="18.75" x14ac:dyDescent="0.3">
      <c r="A1" s="16" t="s">
        <v>45</v>
      </c>
      <c r="B1"/>
      <c r="G1"/>
      <c r="K1"/>
      <c r="L1"/>
      <c r="M1" s="13"/>
    </row>
    <row r="2" spans="1:15" ht="47.25" thickBot="1" x14ac:dyDescent="0.75">
      <c r="A2" s="273" t="s">
        <v>104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5" ht="60.75" thickBot="1" x14ac:dyDescent="0.3">
      <c r="A3" s="59" t="s">
        <v>10</v>
      </c>
      <c r="B3" s="60" t="s">
        <v>26</v>
      </c>
      <c r="C3" s="61" t="s">
        <v>27</v>
      </c>
      <c r="D3" s="61" t="s">
        <v>1</v>
      </c>
      <c r="E3" s="62" t="s">
        <v>2</v>
      </c>
      <c r="F3" s="62" t="s">
        <v>28</v>
      </c>
      <c r="G3" s="62" t="s">
        <v>29</v>
      </c>
      <c r="H3" s="63" t="s">
        <v>30</v>
      </c>
      <c r="I3" s="63" t="s">
        <v>31</v>
      </c>
      <c r="J3" s="64" t="s">
        <v>32</v>
      </c>
      <c r="K3" s="65" t="s">
        <v>33</v>
      </c>
      <c r="L3" s="85" t="s">
        <v>44</v>
      </c>
      <c r="M3" s="66" t="s">
        <v>34</v>
      </c>
    </row>
    <row r="4" spans="1:15" ht="15.75" x14ac:dyDescent="0.25">
      <c r="A4" s="25" t="s">
        <v>18</v>
      </c>
      <c r="B4" s="248">
        <v>888</v>
      </c>
      <c r="C4" s="210" t="s">
        <v>23</v>
      </c>
      <c r="D4" s="210" t="s">
        <v>7</v>
      </c>
      <c r="E4" s="249">
        <v>14663149.584095674</v>
      </c>
      <c r="F4" s="249">
        <v>2380000.7303388626</v>
      </c>
      <c r="G4" s="249">
        <f t="shared" ref="G4:G6" si="0">E4-F4</f>
        <v>12283148.853756811</v>
      </c>
      <c r="H4" s="210">
        <v>712027.6</v>
      </c>
      <c r="I4" s="210">
        <v>2636.4</v>
      </c>
      <c r="J4" s="68">
        <f>+G4/H4</f>
        <v>17.250944842246021</v>
      </c>
      <c r="K4" s="93"/>
      <c r="L4" s="86">
        <f>ROUND(H4/I4,1)</f>
        <v>270.10000000000002</v>
      </c>
      <c r="M4" s="69"/>
      <c r="N4" s="142"/>
      <c r="O4" s="142"/>
    </row>
    <row r="5" spans="1:15" ht="15.75" x14ac:dyDescent="0.25">
      <c r="A5" s="30" t="s">
        <v>18</v>
      </c>
      <c r="B5" s="250">
        <v>888</v>
      </c>
      <c r="C5" s="7" t="s">
        <v>23</v>
      </c>
      <c r="D5" s="7" t="s">
        <v>8</v>
      </c>
      <c r="E5" s="251">
        <v>844680.00097318634</v>
      </c>
      <c r="F5" s="251">
        <v>137101.44656774972</v>
      </c>
      <c r="G5" s="251">
        <f t="shared" si="0"/>
        <v>707578.55440543662</v>
      </c>
      <c r="H5" s="7">
        <v>41016.800000000003</v>
      </c>
      <c r="I5" s="7">
        <v>287.75</v>
      </c>
      <c r="J5" s="67">
        <f>+G5/H5</f>
        <v>17.250944842246021</v>
      </c>
      <c r="K5" s="94"/>
      <c r="L5" s="87">
        <f>ROUND(H5/I5,1)</f>
        <v>142.5</v>
      </c>
      <c r="M5" s="70"/>
      <c r="N5" s="142"/>
      <c r="O5" s="142"/>
    </row>
    <row r="6" spans="1:15" ht="16.5" thickBot="1" x14ac:dyDescent="0.3">
      <c r="A6" s="35" t="s">
        <v>18</v>
      </c>
      <c r="B6" s="231">
        <v>888</v>
      </c>
      <c r="C6" s="151" t="s">
        <v>23</v>
      </c>
      <c r="D6" s="151" t="s">
        <v>9</v>
      </c>
      <c r="E6" s="232">
        <v>706003.28493113932</v>
      </c>
      <c r="F6" s="232">
        <v>114592.59309338736</v>
      </c>
      <c r="G6" s="232">
        <f t="shared" si="0"/>
        <v>591410.69183775201</v>
      </c>
      <c r="H6" s="151">
        <v>34282.800000000003</v>
      </c>
      <c r="I6" s="151">
        <v>266.93</v>
      </c>
      <c r="J6" s="71">
        <f>+G6/H6</f>
        <v>17.250944842246025</v>
      </c>
      <c r="K6" s="95"/>
      <c r="L6" s="88">
        <f>ROUND(H6/I6,1)</f>
        <v>128.4</v>
      </c>
      <c r="M6" s="72"/>
      <c r="N6" s="142"/>
      <c r="O6" s="142"/>
    </row>
    <row r="7" spans="1:15" x14ac:dyDescent="0.25">
      <c r="G7"/>
      <c r="J7" s="13"/>
      <c r="K7"/>
      <c r="L7"/>
    </row>
    <row r="8" spans="1:15" ht="15.75" thickBot="1" x14ac:dyDescent="0.3">
      <c r="G8"/>
      <c r="J8" s="13"/>
      <c r="K8"/>
      <c r="L8"/>
    </row>
    <row r="9" spans="1:15" ht="24.75" thickBot="1" x14ac:dyDescent="0.3">
      <c r="A9" s="17" t="s">
        <v>42</v>
      </c>
      <c r="F9" s="10"/>
      <c r="G9" s="105">
        <v>1.6</v>
      </c>
      <c r="H9" s="40">
        <v>1.35</v>
      </c>
      <c r="I9" s="40">
        <v>1.2</v>
      </c>
      <c r="J9" s="106" t="s">
        <v>32</v>
      </c>
      <c r="K9"/>
      <c r="L9"/>
    </row>
    <row r="10" spans="1:15" ht="15.75" x14ac:dyDescent="0.25">
      <c r="A10" t="s">
        <v>7</v>
      </c>
      <c r="F10" s="10"/>
      <c r="G10" s="157">
        <f>+$J$10*G9</f>
        <v>27.6</v>
      </c>
      <c r="H10" s="155">
        <f>+$J$10*H9</f>
        <v>23.287500000000001</v>
      </c>
      <c r="I10" s="153">
        <f>+$J$10*I9</f>
        <v>20.7</v>
      </c>
      <c r="J10" s="102">
        <f>+ROUND(AVERAGEIF($D$4:$D$6,"Weekday",$J$4:$J6),2)</f>
        <v>17.25</v>
      </c>
      <c r="K10"/>
      <c r="L10"/>
    </row>
    <row r="11" spans="1:15" ht="15.75" x14ac:dyDescent="0.25">
      <c r="A11" t="s">
        <v>8</v>
      </c>
      <c r="F11" s="10"/>
      <c r="G11" s="161">
        <f>+$J$11*G9</f>
        <v>27.6</v>
      </c>
      <c r="H11" s="159">
        <f>+$J$11*H9</f>
        <v>23.287500000000001</v>
      </c>
      <c r="I11" s="160">
        <f>+$J$11*I9</f>
        <v>20.7</v>
      </c>
      <c r="J11" s="103">
        <f>+ROUND(AVERAGEIF($D$4:$D$6,"Saturday",$J$4:$J6),2)</f>
        <v>17.25</v>
      </c>
    </row>
    <row r="12" spans="1:15" ht="16.5" thickBot="1" x14ac:dyDescent="0.3">
      <c r="A12" t="s">
        <v>9</v>
      </c>
      <c r="F12" s="10"/>
      <c r="G12" s="158">
        <f>+$J$12*G9</f>
        <v>27.6</v>
      </c>
      <c r="H12" s="156">
        <f>+$J$12*H9</f>
        <v>23.287500000000001</v>
      </c>
      <c r="I12" s="154">
        <f>+$J$12*I9</f>
        <v>20.7</v>
      </c>
      <c r="J12" s="104">
        <f>+ROUND(AVERAGEIF($D$4:$D$6,"Sunday",$J$4:$J6),2)</f>
        <v>17.25</v>
      </c>
    </row>
    <row r="14" spans="1:15" x14ac:dyDescent="0.25">
      <c r="B14" s="192"/>
    </row>
  </sheetData>
  <mergeCells count="1">
    <mergeCell ref="A2:N2"/>
  </mergeCells>
  <conditionalFormatting sqref="L4:L6">
    <cfRule type="cellIs" priority="1" operator="greaterThan">
      <formula>70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13"/>
  <sheetViews>
    <sheetView workbookViewId="0">
      <selection activeCell="M1" sqref="M1:M1048576"/>
    </sheetView>
  </sheetViews>
  <sheetFormatPr defaultRowHeight="15" x14ac:dyDescent="0.25"/>
  <cols>
    <col min="1" max="1" width="29.7109375" bestFit="1" customWidth="1"/>
    <col min="2" max="2" width="24.28515625" style="12" bestFit="1" customWidth="1"/>
    <col min="3" max="3" width="27.28515625" bestFit="1" customWidth="1"/>
    <col min="4" max="4" width="19.140625" customWidth="1"/>
    <col min="5" max="6" width="14.28515625" bestFit="1" customWidth="1"/>
    <col min="7" max="7" width="15.85546875" style="10" bestFit="1" customWidth="1"/>
    <col min="8" max="8" width="14" bestFit="1" customWidth="1"/>
    <col min="9" max="9" width="12.28515625" bestFit="1" customWidth="1"/>
    <col min="10" max="10" width="10.5703125" bestFit="1" customWidth="1"/>
    <col min="11" max="11" width="13.42578125" style="13" customWidth="1"/>
    <col min="12" max="12" width="10.85546875" style="13" bestFit="1" customWidth="1"/>
    <col min="13" max="13" width="13.7109375" customWidth="1"/>
    <col min="18" max="19" width="12.7109375" bestFit="1" customWidth="1"/>
  </cols>
  <sheetData>
    <row r="1" spans="1:14" ht="18.75" x14ac:dyDescent="0.3">
      <c r="A1" s="16" t="s">
        <v>69</v>
      </c>
      <c r="B1"/>
      <c r="G1"/>
      <c r="J1" s="4"/>
      <c r="K1" s="4"/>
      <c r="L1" s="4"/>
      <c r="M1" s="13"/>
    </row>
    <row r="2" spans="1:14" ht="47.25" thickBot="1" x14ac:dyDescent="0.75">
      <c r="A2" s="273" t="s">
        <v>105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 ht="60.75" thickBot="1" x14ac:dyDescent="0.3">
      <c r="A3" s="59" t="s">
        <v>10</v>
      </c>
      <c r="B3" s="60" t="s">
        <v>26</v>
      </c>
      <c r="C3" s="61" t="s">
        <v>27</v>
      </c>
      <c r="D3" s="61" t="s">
        <v>1</v>
      </c>
      <c r="E3" s="62" t="s">
        <v>2</v>
      </c>
      <c r="F3" s="62" t="s">
        <v>28</v>
      </c>
      <c r="G3" s="62" t="s">
        <v>29</v>
      </c>
      <c r="H3" s="63" t="s">
        <v>30</v>
      </c>
      <c r="I3" s="63" t="s">
        <v>35</v>
      </c>
      <c r="J3" s="64" t="s">
        <v>32</v>
      </c>
      <c r="K3" s="65" t="s">
        <v>33</v>
      </c>
      <c r="L3" s="85" t="s">
        <v>44</v>
      </c>
      <c r="M3" s="66" t="s">
        <v>34</v>
      </c>
    </row>
    <row r="4" spans="1:14" ht="15.75" x14ac:dyDescent="0.25">
      <c r="A4" s="25" t="s">
        <v>14</v>
      </c>
      <c r="B4" s="26" t="s">
        <v>13</v>
      </c>
      <c r="C4" s="26" t="s">
        <v>128</v>
      </c>
      <c r="D4" s="26" t="s">
        <v>7</v>
      </c>
      <c r="E4" s="28">
        <f>1122966.20662754+2+25000</f>
        <v>1147968.2066275401</v>
      </c>
      <c r="F4" s="28">
        <v>65180.160000000003</v>
      </c>
      <c r="G4" s="252">
        <f t="shared" ref="G4:G8" si="0">E4-F4</f>
        <v>1082788.0466275401</v>
      </c>
      <c r="H4" s="28">
        <v>27514</v>
      </c>
      <c r="I4" s="28">
        <v>9422</v>
      </c>
      <c r="J4" s="96">
        <f>ROUND(G4/H4,2)</f>
        <v>39.35</v>
      </c>
      <c r="K4" s="57">
        <f>+J4/$J$11</f>
        <v>1.9000482858522454</v>
      </c>
      <c r="L4" s="97">
        <f>+H4/I4</f>
        <v>2.9201867968584163</v>
      </c>
      <c r="M4" s="73"/>
      <c r="N4" s="142"/>
    </row>
    <row r="5" spans="1:14" ht="15.75" x14ac:dyDescent="0.25">
      <c r="A5" s="253" t="s">
        <v>122</v>
      </c>
      <c r="B5" s="254" t="s">
        <v>127</v>
      </c>
      <c r="C5" s="31" t="s">
        <v>128</v>
      </c>
      <c r="D5" s="255" t="s">
        <v>7</v>
      </c>
      <c r="E5" s="256">
        <v>991034</v>
      </c>
      <c r="F5" s="256">
        <v>220638</v>
      </c>
      <c r="G5" s="257">
        <f t="shared" si="0"/>
        <v>770396</v>
      </c>
      <c r="H5" s="256">
        <v>96297</v>
      </c>
      <c r="I5" s="256">
        <v>27155.09</v>
      </c>
      <c r="J5" s="98">
        <f>ROUND(G5/H5,2)</f>
        <v>8</v>
      </c>
      <c r="K5" s="55">
        <f>+J5/$J$11</f>
        <v>0.38628681796233699</v>
      </c>
      <c r="L5" s="99">
        <f>+H5/I5</f>
        <v>3.5461860004883063</v>
      </c>
      <c r="M5" s="50"/>
      <c r="N5" s="142"/>
    </row>
    <row r="6" spans="1:14" ht="15.75" x14ac:dyDescent="0.25">
      <c r="A6" s="253" t="s">
        <v>122</v>
      </c>
      <c r="B6" s="254" t="s">
        <v>127</v>
      </c>
      <c r="C6" s="31" t="s">
        <v>128</v>
      </c>
      <c r="D6" s="255" t="s">
        <v>8</v>
      </c>
      <c r="E6" s="256">
        <v>90103</v>
      </c>
      <c r="F6" s="256">
        <v>20140</v>
      </c>
      <c r="G6" s="257">
        <f t="shared" si="0"/>
        <v>69963</v>
      </c>
      <c r="H6" s="256">
        <v>6214</v>
      </c>
      <c r="I6" s="256">
        <v>2353.9499999999998</v>
      </c>
      <c r="J6" s="98">
        <f>ROUND(G6/H6,2)</f>
        <v>11.26</v>
      </c>
      <c r="K6" s="55">
        <f>+J6/$J$11</f>
        <v>0.5436986962819893</v>
      </c>
      <c r="L6" s="99">
        <f>+H6/I6</f>
        <v>2.6398181779562013</v>
      </c>
      <c r="M6" s="50"/>
      <c r="N6" s="142"/>
    </row>
    <row r="7" spans="1:14" s="139" customFormat="1" ht="15.75" x14ac:dyDescent="0.25">
      <c r="A7" s="30" t="s">
        <v>11</v>
      </c>
      <c r="B7" s="250" t="s">
        <v>121</v>
      </c>
      <c r="C7" s="7" t="s">
        <v>128</v>
      </c>
      <c r="D7" s="7" t="s">
        <v>46</v>
      </c>
      <c r="E7" s="251">
        <v>788759.54999999993</v>
      </c>
      <c r="F7" s="251">
        <v>52769.59</v>
      </c>
      <c r="G7" s="251">
        <f t="shared" si="0"/>
        <v>735989.96</v>
      </c>
      <c r="H7" s="7">
        <v>36568</v>
      </c>
      <c r="I7" s="258">
        <v>10913</v>
      </c>
      <c r="J7" s="98">
        <f>ROUND(G7/H7,2)</f>
        <v>20.13</v>
      </c>
      <c r="K7" s="55">
        <f>+J7/$J$11</f>
        <v>0.97199420569773043</v>
      </c>
      <c r="L7" s="99">
        <f>+H7/I7</f>
        <v>3.350865939704939</v>
      </c>
      <c r="M7" s="50"/>
      <c r="N7" s="142"/>
    </row>
    <row r="8" spans="1:14" ht="16.5" thickBot="1" x14ac:dyDescent="0.3">
      <c r="A8" s="35" t="s">
        <v>21</v>
      </c>
      <c r="B8" s="231" t="s">
        <v>141</v>
      </c>
      <c r="C8" s="151" t="s">
        <v>128</v>
      </c>
      <c r="D8" s="151" t="s">
        <v>46</v>
      </c>
      <c r="E8" s="259">
        <v>7007241</v>
      </c>
      <c r="F8" s="260">
        <v>957534</v>
      </c>
      <c r="G8" s="260">
        <f t="shared" si="0"/>
        <v>6049707</v>
      </c>
      <c r="H8" s="261">
        <v>243857</v>
      </c>
      <c r="I8" s="262">
        <v>109827</v>
      </c>
      <c r="J8" s="100">
        <f>ROUND(G8/H8,2)</f>
        <v>24.81</v>
      </c>
      <c r="K8" s="56">
        <f>+J8/$J$11</f>
        <v>1.1979719942056977</v>
      </c>
      <c r="L8" s="101">
        <f>+H8/I8</f>
        <v>2.2203738607082046</v>
      </c>
      <c r="M8" s="46"/>
      <c r="N8" s="142"/>
    </row>
    <row r="9" spans="1:14" ht="15.75" thickBot="1" x14ac:dyDescent="0.3">
      <c r="G9" s="15"/>
      <c r="H9" s="10"/>
      <c r="J9" s="13"/>
      <c r="K9"/>
      <c r="L9"/>
    </row>
    <row r="10" spans="1:14" ht="24.75" thickBot="1" x14ac:dyDescent="0.3">
      <c r="A10" s="17" t="s">
        <v>42</v>
      </c>
      <c r="F10" s="10"/>
      <c r="G10" s="105">
        <v>1.6</v>
      </c>
      <c r="H10" s="40">
        <v>1.35</v>
      </c>
      <c r="I10" s="40">
        <v>1.2</v>
      </c>
      <c r="J10" s="106" t="s">
        <v>32</v>
      </c>
    </row>
    <row r="11" spans="1:14" ht="16.5" thickBot="1" x14ac:dyDescent="0.3">
      <c r="A11" t="s">
        <v>46</v>
      </c>
      <c r="F11" s="10"/>
      <c r="G11" s="162">
        <f>+$J$11*G10</f>
        <v>33.136000000000003</v>
      </c>
      <c r="H11" s="164">
        <f>+$J$11*H10</f>
        <v>27.958500000000004</v>
      </c>
      <c r="I11" s="163">
        <f>+$J$11*I10</f>
        <v>24.852</v>
      </c>
      <c r="J11" s="166">
        <f>+ROUND(AVERAGE(J4:J8),2)</f>
        <v>20.71</v>
      </c>
    </row>
    <row r="12" spans="1:14" ht="15.75" x14ac:dyDescent="0.25">
      <c r="F12" s="10"/>
      <c r="G12" s="34"/>
      <c r="H12" s="34"/>
      <c r="I12" s="34"/>
      <c r="J12" s="43"/>
    </row>
    <row r="13" spans="1:14" ht="15.75" x14ac:dyDescent="0.25">
      <c r="F13" s="10"/>
      <c r="G13" s="34"/>
      <c r="H13" s="34"/>
      <c r="I13" s="34"/>
      <c r="J13" s="43"/>
    </row>
  </sheetData>
  <mergeCells count="1">
    <mergeCell ref="A2:N2"/>
  </mergeCells>
  <conditionalFormatting sqref="K4:K8">
    <cfRule type="cellIs" dxfId="6" priority="1" stopIfTrue="1" operator="greaterThan">
      <formula>1.6</formula>
    </cfRule>
    <cfRule type="cellIs" dxfId="5" priority="2" stopIfTrue="1" operator="greaterThan">
      <formula>1.36</formula>
    </cfRule>
    <cfRule type="cellIs" dxfId="4" priority="3" stopIfTrue="1" operator="greaterThan">
      <formula>1.2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1 Commuter &amp; Express Bus</vt:lpstr>
      <vt:lpstr>Table 2 Core Local</vt:lpstr>
      <vt:lpstr>Table 3 Supporting Local</vt:lpstr>
      <vt:lpstr>Table 4 Suburban Local</vt:lpstr>
      <vt:lpstr>Table 5 Arterial BRT</vt:lpstr>
      <vt:lpstr>Table 6 Highway BRT</vt:lpstr>
      <vt:lpstr>Table 7 Light Rail Transit</vt:lpstr>
      <vt:lpstr>Table 8 Commuter Rail</vt:lpstr>
      <vt:lpstr>Table 9 Dial-a-Ride</vt:lpstr>
      <vt:lpstr>Summary of all routes</vt:lpstr>
      <vt:lpstr>Pivot 3</vt:lpstr>
      <vt:lpstr>Tables for summary document (Ol</vt:lpstr>
      <vt:lpstr>Pivot Summary 2</vt:lpstr>
      <vt:lpstr>Pivot2</vt:lpstr>
      <vt:lpstr>Pivot Old</vt:lpstr>
      <vt:lpstr>Subsidy and PPISH tables 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harperjr</dc:creator>
  <cp:lastModifiedBy>Pena, Daniel</cp:lastModifiedBy>
  <cp:lastPrinted>2018-08-08T13:06:47Z</cp:lastPrinted>
  <dcterms:created xsi:type="dcterms:W3CDTF">2017-12-07T21:09:46Z</dcterms:created>
  <dcterms:modified xsi:type="dcterms:W3CDTF">2019-12-30T19:45:46Z</dcterms:modified>
</cp:coreProperties>
</file>